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5" yWindow="32765" windowWidth="16893" windowHeight="9994" activeTab="0"/>
  </bookViews>
  <sheets>
    <sheet name="Tarifs bovins" sheetId="1" r:id="rId1"/>
    <sheet name="SUIVIS SANITAIRES" sheetId="2" r:id="rId2"/>
  </sheets>
  <externalReferences>
    <externalReference r:id="rId5"/>
  </externalReferences>
  <definedNames>
    <definedName name="BOUCLES">'Tarifs bovins'!$M$40:$N$126</definedName>
    <definedName name="POURCENTAGE">'Tarifs bovins'!$N$18:$O$22</definedName>
    <definedName name="REDUCTIONS">'Tarifs bovins'!$K$18:$L$38</definedName>
    <definedName name="RÉDUCTIONSV">'[1]Réductions'!$A$2:$B$23</definedName>
    <definedName name="_xlnm.Print_Area" localSheetId="1">'SUIVIS SANITAIRES'!$L$2:$W$68</definedName>
    <definedName name="_xlnm.Print_Area" localSheetId="0">'Tarifs bovins'!$A$1:$P$140</definedName>
  </definedNames>
  <calcPr fullCalcOnLoad="1"/>
</workbook>
</file>

<file path=xl/comments1.xml><?xml version="1.0" encoding="utf-8"?>
<comments xmlns="http://schemas.openxmlformats.org/spreadsheetml/2006/main">
  <authors>
    <author>Serge V?lu</author>
  </authors>
  <commentList>
    <comment ref="B15" authorId="0">
      <text>
        <r>
          <rPr>
            <b/>
            <sz val="8"/>
            <rFont val="Tahoma"/>
            <family val="2"/>
          </rPr>
          <t>Indiquer dans cette colonne le nombre de bêtes à tester pour le paramètre de la colonne voisine</t>
        </r>
      </text>
    </comment>
    <comment ref="A57" authorId="0">
      <text>
        <r>
          <rPr>
            <b/>
            <sz val="8"/>
            <rFont val="Tahoma"/>
            <family val="2"/>
          </rPr>
          <t>Séro IBR :</t>
        </r>
        <r>
          <rPr>
            <sz val="8"/>
            <rFont val="Tahoma"/>
            <family val="2"/>
          </rPr>
          <t xml:space="preserve"> En tant que labo privé, les analyses officielles ou de certification nous sont interdites.
Restent autocontrôles et aide au diagnostic. 
Respecter la règlementation</t>
        </r>
      </text>
    </comment>
    <comment ref="A128" authorId="0">
      <text>
        <r>
          <rPr>
            <b/>
            <sz val="8"/>
            <rFont val="Tahoma"/>
            <family val="2"/>
          </rPr>
          <t>Ne pas oublier les frais de transport si AaBioVét intervient</t>
        </r>
        <r>
          <rPr>
            <sz val="8"/>
            <rFont val="Tahoma"/>
            <family val="2"/>
          </rPr>
          <t xml:space="preserve">
Mettre "1" devant le transport utilisé</t>
        </r>
      </text>
    </comment>
    <comment ref="B137" authorId="0">
      <text>
        <r>
          <rPr>
            <b/>
            <sz val="8"/>
            <rFont val="Tahoma"/>
            <family val="2"/>
          </rPr>
          <t xml:space="preserve">Convention Vetel / Alcyon </t>
        </r>
        <r>
          <rPr>
            <sz val="8"/>
            <rFont val="Tahoma"/>
            <family val="2"/>
          </rPr>
          <t>ouverte à tout cabinet desservi par la plateforme d'Arras. Contacter Vetel    
03 21 13 83 70</t>
        </r>
      </text>
    </comment>
    <comment ref="B75" authorId="0">
      <text>
        <r>
          <rPr>
            <sz val="8"/>
            <rFont val="Tahoma"/>
            <family val="2"/>
          </rPr>
          <t>Indiquer le nombre total de bêtes et pas le nombre de mélanges</t>
        </r>
      </text>
    </comment>
    <comment ref="E17" authorId="0">
      <text>
        <r>
          <rPr>
            <b/>
            <sz val="10"/>
            <color indexed="10"/>
            <rFont val="Tahoma"/>
            <family val="2"/>
          </rPr>
          <t xml:space="preserve">ATTENTION : </t>
        </r>
        <r>
          <rPr>
            <b/>
            <sz val="8"/>
            <rFont val="Tahoma"/>
            <family val="2"/>
          </rPr>
          <t xml:space="preserve">
le prix unitaire baisse souvent en fonction du nombre d'animaux testés</t>
        </r>
      </text>
    </comment>
  </commentList>
</comments>
</file>

<file path=xl/sharedStrings.xml><?xml version="1.0" encoding="utf-8"?>
<sst xmlns="http://schemas.openxmlformats.org/spreadsheetml/2006/main" count="284" uniqueCount="248">
  <si>
    <t>LABORATOIRE Aa Bio Vét  -  Département Santé Animale</t>
  </si>
  <si>
    <t>RESERVE AABIOVET</t>
  </si>
  <si>
    <t>FICHIER DE CALCUL DE FACTURATION PROBABLE</t>
  </si>
  <si>
    <t xml:space="preserve">Parmètres  à </t>
  </si>
  <si>
    <t>Coeff</t>
  </si>
  <si>
    <t>TABLE DE DÉGRESSIVITÉ</t>
  </si>
  <si>
    <t>REMISE GROUPAGE</t>
  </si>
  <si>
    <t>Commentaires</t>
  </si>
  <si>
    <t>Nombre</t>
  </si>
  <si>
    <t>PARAMETRES COURANTS</t>
  </si>
  <si>
    <t>Eléments de facturation</t>
  </si>
  <si>
    <t>Prix unitaire</t>
  </si>
  <si>
    <t>total HT</t>
  </si>
  <si>
    <t>réduction finale</t>
  </si>
  <si>
    <t>dégressif</t>
  </si>
  <si>
    <t>Nb d'échantillons</t>
  </si>
  <si>
    <t>Coeff. multiplicateur</t>
  </si>
  <si>
    <t>Nb de paramètres</t>
  </si>
  <si>
    <t>%Réduction</t>
  </si>
  <si>
    <t>d'autres disponibles : cf tarif ou sur demande</t>
  </si>
  <si>
    <t>% réduction</t>
  </si>
  <si>
    <t>Analyses groupées</t>
  </si>
  <si>
    <t>PARATUBERCULOSE</t>
  </si>
  <si>
    <t>Recherche de BAAR / coloration de Ziehl</t>
  </si>
  <si>
    <t>BVD</t>
  </si>
  <si>
    <t>Recherche d'anticorps</t>
  </si>
  <si>
    <t>Recherche de virus (antigène ou matériel génétique)</t>
  </si>
  <si>
    <t>&gt;20</t>
  </si>
  <si>
    <t>AVORTEMENTS</t>
  </si>
  <si>
    <t>Fièvre Q : Lait indiv ou tank , placenta, écouvillons…</t>
  </si>
  <si>
    <t>Chlamydiose :  lait indiv, placenta, écouvillons …</t>
  </si>
  <si>
    <t>Toxoplasmose : encéphale, cœur, reins, foie ….</t>
  </si>
  <si>
    <t>nb de mélanges</t>
  </si>
  <si>
    <t>Sérologie MYCOPLASMA bovis</t>
  </si>
  <si>
    <t>FASCIOLOSE</t>
  </si>
  <si>
    <t>Sérologie individuelle  / sang</t>
  </si>
  <si>
    <t>Recherche directe</t>
  </si>
  <si>
    <t>Coprologie parasitaire avec recherche de Trématodes</t>
  </si>
  <si>
    <t>Réduction selon nombre de paramètres</t>
  </si>
  <si>
    <t>Réseau Express départ 62   poids &lt; 500 g</t>
  </si>
  <si>
    <t>Réseau Express départ 02/ 59 / 80    poids &lt; 500 g</t>
  </si>
  <si>
    <t>Réseau express autres départements    poids &lt; 500 g</t>
  </si>
  <si>
    <t>Autres possibilités sans frais facturés par AabioVét</t>
  </si>
  <si>
    <t>Colis postal</t>
  </si>
  <si>
    <t>Convention VETEL / ALCYON Arras</t>
  </si>
  <si>
    <t>TOTAL HT</t>
  </si>
  <si>
    <t>Après cette date, téléchargez la version suivante sur notre site (accès libre)</t>
  </si>
  <si>
    <t>Recherche d'anticorps hors forfaits</t>
  </si>
  <si>
    <t>Sérologie Chlamydiose  (sérum)</t>
  </si>
  <si>
    <t>Test(s) de gestation par recherche des PAGs dès 28j post IA / sang</t>
  </si>
  <si>
    <t>PCR sur tissus ou organes ….</t>
  </si>
  <si>
    <t>OSTERTAGIOSE / BESNOITIOSE</t>
  </si>
  <si>
    <t>Sérologie besnoitiose  (sérum)</t>
  </si>
  <si>
    <r>
      <t>Pour plus d'informations :  tél  : 03 21 93 44 63   ou email : secretariat</t>
    </r>
    <r>
      <rPr>
        <u val="single"/>
        <sz val="10"/>
        <color indexed="12"/>
        <rFont val="Arial"/>
        <family val="2"/>
      </rPr>
      <t>@analyses-veterinaires.fr</t>
    </r>
    <r>
      <rPr>
        <sz val="10"/>
        <rFont val="Arial"/>
        <family val="0"/>
      </rPr>
      <t xml:space="preserve">   ou  </t>
    </r>
    <r>
      <rPr>
        <u val="single"/>
        <sz val="10"/>
        <color indexed="12"/>
        <rFont val="Arial"/>
        <family val="2"/>
      </rPr>
      <t>www.analyses-veterinaires.fr</t>
    </r>
  </si>
  <si>
    <t xml:space="preserve">Forfait classique : Chlamydiose+ FQ + Néo </t>
  </si>
  <si>
    <t>AUJOURD'HUI, VOICI NOTRE PROPOSITION :</t>
  </si>
  <si>
    <t>l'évolution des risques …..</t>
  </si>
  <si>
    <t>BVD   +   Paratuberculose   +   Fièvre Q</t>
  </si>
  <si>
    <t>?</t>
  </si>
  <si>
    <t>+ Néosporose +  Salmonellose</t>
  </si>
  <si>
    <t>+ Distomatose  +  Ostertagiose</t>
  </si>
  <si>
    <t>Parce que :</t>
  </si>
  <si>
    <t>Détection précoce = réaction rapide = garantie d'une lutte efficace</t>
  </si>
  <si>
    <t>Certains indicateurs peuvent vous apporter la tranquillité d'esprit</t>
  </si>
  <si>
    <t>Une bonne gestion sanitaire nécessite un suivi régulier 2 à 3 fois par an</t>
  </si>
  <si>
    <t>Nous avons les moyens techniques pour vous aider</t>
  </si>
  <si>
    <t>* voir simulation "tranquillité" en bas de 2ème page</t>
  </si>
  <si>
    <t>LES INDICATEURS POSSIBLES</t>
  </si>
  <si>
    <t>Sur quoi ?</t>
  </si>
  <si>
    <t>Quoi ? Quand ?</t>
  </si>
  <si>
    <t>Comment ?</t>
  </si>
  <si>
    <t>Pourquoi ?</t>
  </si>
  <si>
    <t>Bouses</t>
  </si>
  <si>
    <t>PARATUB</t>
  </si>
  <si>
    <t>Détection PCR / mélange de 3 prélèvements</t>
  </si>
  <si>
    <t>Positivité = animaux excréteurs               = danger</t>
  </si>
  <si>
    <t>2 ou 3 x/an</t>
  </si>
  <si>
    <t>Prélevez au niveau de 3 surfaces les + représentatives du passage des animaux (abreuvoir, passage salle de traite …)</t>
  </si>
  <si>
    <t>SALMONELLES</t>
  </si>
  <si>
    <t>Si positif : investir en + dans un sérotypage car les souches sont +/- dangereuses;  antibiogramme possible</t>
  </si>
  <si>
    <t>Début d'été et rentrée à l'étable</t>
  </si>
  <si>
    <t>Lait de tank</t>
  </si>
  <si>
    <t>NEOSPOROSE</t>
  </si>
  <si>
    <t>Dosage d'anticorps</t>
  </si>
  <si>
    <t>Représentatif de la positivité des animaux en lactation</t>
  </si>
  <si>
    <t>Suivre l'évolution du taux au cours du temps</t>
  </si>
  <si>
    <t>FIEVRE Q</t>
  </si>
  <si>
    <t>Détection PCR</t>
  </si>
  <si>
    <t>Positivité = au moins 1 porteur-excréteur</t>
  </si>
  <si>
    <t>2 x / an</t>
  </si>
  <si>
    <t>Détection ponctuelle de l'excrétion dans le lait</t>
  </si>
  <si>
    <t>DOUVE du foie</t>
  </si>
  <si>
    <t>Dosage d'anticorps - suivre l'évolution du taux</t>
  </si>
  <si>
    <t>Evalue la contamination puis l'efficacité d'un éventuel traitement</t>
  </si>
  <si>
    <t>rentrée à l'étable et 3-4 mois + tard</t>
  </si>
  <si>
    <t>d'un éventuel traitement</t>
  </si>
  <si>
    <t>OSTERTAGIOSE</t>
  </si>
  <si>
    <t>Evalue la pertinence d'un éventuel traitement</t>
  </si>
  <si>
    <t>1 x par an en nov-déc</t>
  </si>
  <si>
    <t>Sang</t>
  </si>
  <si>
    <t xml:space="preserve">Détection d'un passage du virus. </t>
  </si>
  <si>
    <t>2 x/an</t>
  </si>
  <si>
    <t>sur 10 animaux "sentinelles"</t>
  </si>
  <si>
    <t>Suivre l'évolution des taux individuels</t>
  </si>
  <si>
    <t>Suivre l'évolution du taux</t>
  </si>
  <si>
    <t>NOTRE PROPOSITION TARIFAIRE  : -25 % sur le second envoi,  - 50 % sur le troisième par période de 365 jours</t>
  </si>
  <si>
    <t>Joignez systématiquement le règlement</t>
  </si>
  <si>
    <t>CONDITIONS PRATIQUES</t>
  </si>
  <si>
    <t>Règlement du matériel + coût de l'envoi à la commande   SVP</t>
  </si>
  <si>
    <t>Délais et conditions de transport :</t>
  </si>
  <si>
    <t>UN EXEMPLE  ?</t>
  </si>
  <si>
    <t>Début ou en cours d'été</t>
  </si>
  <si>
    <t>Entrée à l'étable</t>
  </si>
  <si>
    <t>Printemps</t>
  </si>
  <si>
    <t>Bouses : Salmo + Paratub</t>
  </si>
  <si>
    <t>Bouses : Paratub</t>
  </si>
  <si>
    <t xml:space="preserve">Lait : Néosporose + FQ  </t>
  </si>
  <si>
    <t>Lait : Ostertag. + Distom. + BVD</t>
  </si>
  <si>
    <t>Lait : Distom. si + à l'automne + Neosp.+ BVD+ FQ</t>
  </si>
  <si>
    <t>Matériel</t>
  </si>
  <si>
    <t>Laboratoire Eurorégional d’Analyses Vétérinaires  /  sarl AaBioVét</t>
  </si>
  <si>
    <t xml:space="preserve">           Centre d’Activités • 29, quai du Haut-Pont •  62500 Saint-Omer </t>
  </si>
  <si>
    <t>Internet : www.analyses-veterinaires.fr •</t>
  </si>
  <si>
    <t>courriel : secretariat@analyses-veterinaires.fr</t>
  </si>
  <si>
    <t>Dr Vétérinaire S. Vélu  à votre service depuis 1986</t>
  </si>
  <si>
    <r>
      <t xml:space="preserve">** Les tarifs unitaires indiqués ne sont applicables qu'avec </t>
    </r>
    <r>
      <rPr>
        <u val="single"/>
        <sz val="12"/>
        <rFont val="Arial"/>
        <family val="2"/>
      </rPr>
      <t>au moins 2 paramètres par envoi et paiement joint</t>
    </r>
    <r>
      <rPr>
        <sz val="12"/>
        <rFont val="Arial"/>
        <family val="2"/>
      </rPr>
      <t>.</t>
    </r>
  </si>
  <si>
    <r>
      <t>1er envoi</t>
    </r>
    <r>
      <rPr>
        <sz val="12"/>
        <rFont val="Arial"/>
        <family val="2"/>
      </rPr>
      <t xml:space="preserve"> :  Faites la somme pour les paramètres individuels choisis</t>
    </r>
  </si>
  <si>
    <r>
      <t>2ème envoi</t>
    </r>
    <r>
      <rPr>
        <sz val="12"/>
        <rFont val="Arial"/>
        <family val="2"/>
      </rPr>
      <t xml:space="preserve"> : Faites la somme pour les paramètres individuels choisis, multipliez par 0,75 </t>
    </r>
  </si>
  <si>
    <r>
      <t>3ème envoi</t>
    </r>
    <r>
      <rPr>
        <sz val="12"/>
        <rFont val="Arial"/>
        <family val="2"/>
      </rPr>
      <t xml:space="preserve"> : Faites la somme pour les paramètres individuels choisis, multipliez par 0,50</t>
    </r>
  </si>
  <si>
    <r>
      <t xml:space="preserve">Après avoir choisi votre plan annuel et si vous n'en disposez pas, </t>
    </r>
    <r>
      <rPr>
        <b/>
        <sz val="12"/>
        <rFont val="Arial"/>
        <family val="2"/>
      </rPr>
      <t xml:space="preserve">commandez le matériel </t>
    </r>
    <r>
      <rPr>
        <sz val="12"/>
        <rFont val="Arial"/>
        <family val="2"/>
      </rPr>
      <t>de prélèvement (prix coûtant)</t>
    </r>
  </si>
  <si>
    <r>
      <t>Lait</t>
    </r>
    <r>
      <rPr>
        <sz val="12"/>
        <rFont val="Arial"/>
        <family val="2"/>
      </rPr>
      <t xml:space="preserve"> : 2 jours max, sauf présence de conservateur (Ac. borique) et  avec une petite recharge de froid</t>
    </r>
  </si>
  <si>
    <r>
      <t>Bouses</t>
    </r>
    <r>
      <rPr>
        <sz val="12"/>
        <rFont val="Arial"/>
        <family val="2"/>
      </rPr>
      <t xml:space="preserve"> : 2 jours dans l'idéal.</t>
    </r>
  </si>
  <si>
    <r>
      <t xml:space="preserve">Sang </t>
    </r>
    <r>
      <rPr>
        <sz val="12"/>
        <rFont val="Arial"/>
        <family val="2"/>
      </rPr>
      <t>: Quelques jours</t>
    </r>
  </si>
  <si>
    <r>
      <t>SANG</t>
    </r>
    <r>
      <rPr>
        <sz val="12"/>
        <rFont val="Arial"/>
        <family val="2"/>
      </rPr>
      <t xml:space="preserve"> : 10 tubes secs </t>
    </r>
  </si>
  <si>
    <r>
      <t>BOUSES</t>
    </r>
    <r>
      <rPr>
        <sz val="12"/>
        <rFont val="Arial"/>
        <family val="2"/>
      </rPr>
      <t xml:space="preserve"> : pot 100 ml</t>
    </r>
  </si>
  <si>
    <r>
      <t xml:space="preserve">2 </t>
    </r>
    <r>
      <rPr>
        <b/>
        <sz val="12"/>
        <rFont val="Arial"/>
        <family val="2"/>
      </rPr>
      <t>CHIFFONNETTES</t>
    </r>
    <r>
      <rPr>
        <sz val="12"/>
        <rFont val="Arial"/>
        <family val="2"/>
      </rPr>
      <t xml:space="preserve"> + gants </t>
    </r>
  </si>
  <si>
    <r>
      <t>2 paires de</t>
    </r>
    <r>
      <rPr>
        <b/>
        <sz val="12"/>
        <rFont val="Arial"/>
        <family val="2"/>
      </rPr>
      <t xml:space="preserve"> CHAUSSETTES</t>
    </r>
    <r>
      <rPr>
        <sz val="12"/>
        <rFont val="Arial"/>
        <family val="2"/>
      </rPr>
      <t xml:space="preserve"> + gants et surbottes</t>
    </r>
  </si>
  <si>
    <r>
      <t xml:space="preserve">Bordereau </t>
    </r>
    <r>
      <rPr>
        <b/>
        <sz val="12"/>
        <rFont val="Arial"/>
        <family val="2"/>
      </rPr>
      <t>Chronopost</t>
    </r>
    <r>
      <rPr>
        <sz val="12"/>
        <rFont val="Arial"/>
        <family val="2"/>
      </rPr>
      <t xml:space="preserve"> pré-payé + enveloppe:</t>
    </r>
  </si>
  <si>
    <r>
      <t>envoi postal</t>
    </r>
    <r>
      <rPr>
        <sz val="12"/>
        <rFont val="Arial"/>
        <family val="2"/>
      </rPr>
      <t xml:space="preserve"> du matériel par colissimo ou lettre max :</t>
    </r>
  </si>
  <si>
    <r>
      <t>(</t>
    </r>
    <r>
      <rPr>
        <sz val="10"/>
        <rFont val="Arial"/>
        <family val="2"/>
      </rPr>
      <t xml:space="preserve">  03 21 93 44 63 • </t>
    </r>
    <r>
      <rPr>
        <sz val="10"/>
        <rFont val="Wingdings"/>
        <family val="0"/>
      </rPr>
      <t>2</t>
    </r>
    <r>
      <rPr>
        <sz val="10"/>
        <rFont val="Arial"/>
        <family val="2"/>
      </rPr>
      <t xml:space="preserve"> 03 21 98 70 82</t>
    </r>
  </si>
  <si>
    <t>Vous nous faites confiance pour vos analyses de diagnostic.</t>
  </si>
  <si>
    <t>Détail et conditions pratiques :  voir ci-dessous</t>
  </si>
  <si>
    <t>Recherches d'anticorps groupées - sur tube sec</t>
  </si>
  <si>
    <t>Recherche d'anticorps paramètres individuels - sur tube sec</t>
  </si>
  <si>
    <t>Sérologie BVD : voir ci-dessus</t>
  </si>
  <si>
    <t>PCR PARATUBERCULOSE  (fèces - lait de tank )</t>
  </si>
  <si>
    <t>TTC (TVA 20,0 % incluse)</t>
  </si>
  <si>
    <t>Détection par PCR</t>
  </si>
  <si>
    <r>
      <t>Vous pouvez choisir nos conditions Chronopost</t>
    </r>
    <r>
      <rPr>
        <sz val="12"/>
        <rFont val="Arial"/>
        <family val="2"/>
      </rPr>
      <t>.   Bordereaux pré-payés (payables à la commande SVP)</t>
    </r>
  </si>
  <si>
    <t xml:space="preserve">SEROLOGIE (rech d'anticorps P80) / tube sec    </t>
  </si>
  <si>
    <r>
      <t xml:space="preserve">Sérologie IBR - anticorps totaux en </t>
    </r>
    <r>
      <rPr>
        <u val="single"/>
        <sz val="10"/>
        <rFont val="Arial"/>
        <family val="2"/>
      </rPr>
      <t>autocontrôle</t>
    </r>
    <r>
      <rPr>
        <sz val="10"/>
        <rFont val="Arial"/>
        <family val="2"/>
      </rPr>
      <t xml:space="preserve">     </t>
    </r>
  </si>
  <si>
    <t>Sérologie : Recherche d'anticorps forfaits</t>
  </si>
  <si>
    <t xml:space="preserve">PCR : Recherche directe de germe par le génome </t>
  </si>
  <si>
    <t>PATHOLOGIES RESPIRATOIRES</t>
  </si>
  <si>
    <t>à long terme dans vos élevages</t>
  </si>
  <si>
    <t>PCR sur sang  par mélange de 10 à 15   (sangs / EDTA) *</t>
  </si>
  <si>
    <t>* Rq : les mélanges positifs doivent être testés en individuel par antigénémie ou PCR</t>
  </si>
  <si>
    <t>PCR sur lait, écouvillons nasaux, ATT, LBA ou 1 seul plasma</t>
  </si>
  <si>
    <t>Néosporose : encéphale surtout  (+/-cœur, reins, foie ….)</t>
  </si>
  <si>
    <r>
      <t>PCR MULTIPLEX 7 pathogènes</t>
    </r>
    <r>
      <rPr>
        <sz val="10"/>
        <rFont val="Arial"/>
        <family val="0"/>
      </rPr>
      <t xml:space="preserve"> : RSV + PI3 + Coronavirus + </t>
    </r>
    <r>
      <rPr>
        <i/>
        <sz val="10"/>
        <rFont val="Arial"/>
        <family val="2"/>
      </rPr>
      <t>Mycoplasma bovis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Pasteurella multocida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Mannheimia haemolytica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Histophilus somni</t>
    </r>
  </si>
  <si>
    <t>TEST DE GESTATION PAR PAGs</t>
  </si>
  <si>
    <t>Vaches / chèvres / brebis (dès 35 j) / bufflonne</t>
  </si>
  <si>
    <t>FRAIS DE TRANSPORT et IMPRESSION - ENVOI</t>
  </si>
  <si>
    <t>Transport avec participation aux frais</t>
  </si>
  <si>
    <r>
      <t xml:space="preserve">Forfait "tranquillité" - élevages laitiers               </t>
    </r>
    <r>
      <rPr>
        <i/>
        <sz val="12"/>
        <rFont val="Arial"/>
        <family val="2"/>
      </rPr>
      <t>à adapter en fonction du statut épidémiologique</t>
    </r>
  </si>
  <si>
    <t>Cela vaut-il la peine de s'en passer ???</t>
  </si>
  <si>
    <t>DATE LIMITE</t>
  </si>
  <si>
    <t>ATTENTION !  TARIFS PERIMES  -  Téléchargez la nouvelle version sur notre site ou demandez la par courriel.</t>
  </si>
  <si>
    <t>Forfait actualisé : Chlamydiose+ FQ + Néo + BHV4</t>
  </si>
  <si>
    <t>PCR 1 valence ci-dessus en individuelle : Listeria ou BHV4 ou Anaplasma phag. ou Salmonella spp ou Campylo. fetus ou Leptosp. Path.</t>
  </si>
  <si>
    <t>Enveloppes T &lt; 500 g    (format enveloppe) étiquette fournie par nos soins</t>
  </si>
  <si>
    <t xml:space="preserve">Sérologie pentavalente  IBR ou M. bovis + BVD + RSV + PI3 + AD3 </t>
  </si>
  <si>
    <t>Sérologie hexavalente  IBR + BVD + RSV + PI3 + AD3 + M. bovis</t>
  </si>
  <si>
    <t>Sérologie trivalente : RSV + PI3 + AD3</t>
  </si>
  <si>
    <t xml:space="preserve">Sérologie tétravalente IBR ou BVD ou M. bovis  + RSV + PI3 + AD3 </t>
  </si>
  <si>
    <t>PCR 1 valence ci-dessus en individuelle : Mycopl bovis ou Past multocida ou Mannh ou Histophilus ou RSV ou PI3.</t>
  </si>
  <si>
    <t>Ne laissez pas une MALADIE s'installer</t>
  </si>
  <si>
    <t>total  analyse TTC :</t>
  </si>
  <si>
    <t>facultatif - d'autres transports sont possibles</t>
  </si>
  <si>
    <t>Recherche directe de pathogène :  PCR</t>
  </si>
  <si>
    <r>
      <t xml:space="preserve">Frais administratifs   : </t>
    </r>
    <r>
      <rPr>
        <b/>
        <sz val="10"/>
        <rFont val="Arial"/>
        <family val="2"/>
      </rPr>
      <t>indiquer 0 si adresse email du client + règlement ou mandat de prélèvement</t>
    </r>
  </si>
  <si>
    <t>Anticorps sur lait individuel ou de tank</t>
  </si>
  <si>
    <t>Anticorps ('DO") ostertagiose sur lait de tank</t>
  </si>
  <si>
    <t xml:space="preserve">Combien dépenser*  pour suivre sur 1 an  </t>
  </si>
  <si>
    <t>Pour le suivi</t>
  </si>
  <si>
    <t>de 7 pathologies d'élevage; chronopost inclus.</t>
  </si>
  <si>
    <t>coût annuel total TTC</t>
  </si>
  <si>
    <t>Détection sur chiffonnettes ou chaussettes spéciales passées sur le max de surface là où les animaux viennent boire et manger</t>
  </si>
  <si>
    <t>Conditions générales des prestations, détails….etc : voir notre catalogue général.</t>
  </si>
  <si>
    <t xml:space="preserve">Dosage d'anticorps </t>
  </si>
  <si>
    <t>Dosage d'anticorps/mélange de 10 sangs max</t>
  </si>
  <si>
    <t>TTC</t>
  </si>
  <si>
    <t>Sérologie en mélange de sérums (5 si possible, 10 max)</t>
  </si>
  <si>
    <r>
      <t xml:space="preserve">Coursier  </t>
    </r>
    <r>
      <rPr>
        <i/>
        <sz val="8"/>
        <rFont val="Arial"/>
        <family val="2"/>
      </rPr>
      <t xml:space="preserve"> (consulter le secrétariat pour les possibilités)</t>
    </r>
  </si>
  <si>
    <t>Anticorps Fièvre Q  (lait de tank)</t>
  </si>
  <si>
    <r>
      <t xml:space="preserve">Anticorps Néosporose  (sérum ou </t>
    </r>
    <r>
      <rPr>
        <b/>
        <sz val="10"/>
        <rFont val="Arial"/>
        <family val="2"/>
      </rPr>
      <t>LAIT indiv ou de TANK</t>
    </r>
    <r>
      <rPr>
        <sz val="10"/>
        <rFont val="Arial"/>
        <family val="0"/>
      </rPr>
      <t xml:space="preserve">) </t>
    </r>
  </si>
  <si>
    <t>Anticorps Fièvre Q  (sérum ou lait individuel)</t>
  </si>
  <si>
    <t>Anticorps Herpes virose type 4  (BHV4)  (sérum)</t>
  </si>
  <si>
    <t>Anticorps sur lait</t>
  </si>
  <si>
    <t xml:space="preserve">ANTICORPS PARATUBERCULOSE screening  (sérum) </t>
  </si>
  <si>
    <t>VIROLOGIE" : antigénémie gp44/48 (E0) : nous ne réalison plus cette analyse</t>
  </si>
  <si>
    <r>
      <t>PCR MULTIPLEX 8 pathogènes</t>
    </r>
    <r>
      <rPr>
        <sz val="10"/>
        <rFont val="Arial"/>
        <family val="0"/>
      </rPr>
      <t xml:space="preserve"> : </t>
    </r>
    <r>
      <rPr>
        <sz val="10"/>
        <rFont val="Arial"/>
        <family val="2"/>
      </rPr>
      <t xml:space="preserve">fièvre Q + </t>
    </r>
    <r>
      <rPr>
        <i/>
        <sz val="10"/>
        <rFont val="Arial"/>
        <family val="2"/>
      </rPr>
      <t>Chlamydophila spp</t>
    </r>
    <r>
      <rPr>
        <sz val="10"/>
        <rFont val="Arial"/>
        <family val="2"/>
      </rPr>
      <t xml:space="preserve"> + </t>
    </r>
    <r>
      <rPr>
        <i/>
        <sz val="10"/>
        <rFont val="Arial"/>
        <family val="2"/>
      </rPr>
      <t>Listeria mono</t>
    </r>
    <r>
      <rPr>
        <sz val="10"/>
        <rFont val="Arial"/>
        <family val="2"/>
      </rPr>
      <t xml:space="preserve"> + </t>
    </r>
    <r>
      <rPr>
        <i/>
        <sz val="10"/>
        <rFont val="Arial"/>
        <family val="2"/>
      </rPr>
      <t>Anaplasma phagoc</t>
    </r>
    <r>
      <rPr>
        <sz val="10"/>
        <rFont val="Arial"/>
        <family val="2"/>
      </rPr>
      <t xml:space="preserve">. + </t>
    </r>
    <r>
      <rPr>
        <i/>
        <sz val="10"/>
        <rFont val="Arial"/>
        <family val="2"/>
      </rPr>
      <t>Salmonella spp</t>
    </r>
    <r>
      <rPr>
        <sz val="10"/>
        <rFont val="Arial"/>
        <family val="2"/>
      </rPr>
      <t xml:space="preserve"> + </t>
    </r>
    <r>
      <rPr>
        <i/>
        <sz val="10"/>
        <rFont val="Arial"/>
        <family val="2"/>
      </rPr>
      <t>Campylobacter fetus</t>
    </r>
    <r>
      <rPr>
        <sz val="10"/>
        <rFont val="Arial"/>
        <family val="2"/>
      </rPr>
      <t xml:space="preserve"> + Leptospires pathogènes + BHV4 (bovins) ou Toxoplasma (ovins) </t>
    </r>
  </si>
  <si>
    <t>Tarif unitaire** minoré 2023</t>
  </si>
  <si>
    <t xml:space="preserve">Réalisé en anti P80 </t>
  </si>
  <si>
    <t>Demande d'analyses spécifique :  NOUS DEMANDER</t>
  </si>
  <si>
    <t>Prix du matériel 2023 TTC  (TVA 20,0 incluse) - uniquement dans le cadre de ces suivis</t>
  </si>
  <si>
    <r>
      <t>LAIT</t>
    </r>
    <r>
      <rPr>
        <sz val="12"/>
        <rFont val="Arial"/>
        <family val="2"/>
      </rPr>
      <t xml:space="preserve"> : pot avec borate  :</t>
    </r>
  </si>
  <si>
    <t>4 chiffonnettes, 3 pots 100 ml, 3 tubes ac borique + 1 envoi postal = 21,50</t>
  </si>
  <si>
    <t>Retour : 3 bordereaux Chronopost + enveloppes  = 46,80</t>
  </si>
  <si>
    <t>Sérologie et PCR</t>
  </si>
  <si>
    <t>Services d'Immuno-sérologie, biologie moléculaire et bactériologie</t>
  </si>
  <si>
    <t>ANALYSES BOVINES / OVINES</t>
  </si>
  <si>
    <t>Coprologie parasitaire avec recherche de Trématodes (&gt; 6 mois)</t>
  </si>
  <si>
    <t>Coprologie parasitaire sans recherche de Trématodes</t>
  </si>
  <si>
    <r>
      <rPr>
        <b/>
        <sz val="10"/>
        <rFont val="Arial"/>
        <family val="2"/>
      </rPr>
      <t>PARASITOLOGIE</t>
    </r>
    <r>
      <rPr>
        <sz val="10"/>
        <rFont val="Arial"/>
        <family val="2"/>
      </rPr>
      <t xml:space="preserve">    (voir aussi Ostertagiose et Fasciolose ci-dessus)</t>
    </r>
  </si>
  <si>
    <t>Technique de Baermann   (Dictyocaules)</t>
  </si>
  <si>
    <t>BACTERIOLOGIE</t>
  </si>
  <si>
    <t>CAS GENERAL</t>
  </si>
  <si>
    <t>Ensemencements  ( indiquer le nombre de prélèvements / organes )</t>
  </si>
  <si>
    <t>recherche de germes exigeants (ex : Histophilus) hors anaérobies</t>
  </si>
  <si>
    <t>Germes anaérobies ou autres demandes :   nous consulter</t>
  </si>
  <si>
    <t>Identification(s) de bactérie aerobie</t>
  </si>
  <si>
    <t>Antibiogramme sur bactérie aérobie</t>
  </si>
  <si>
    <t>DIARRHEE DE VEAU</t>
  </si>
  <si>
    <t>Rotavirus + Coronavirus + Cryptosporidies + antigène K99</t>
  </si>
  <si>
    <t>Rotavirus ou  Coronavirus ou Cryptosporidies ou antigène K99</t>
  </si>
  <si>
    <t>Typage d'Escherichia  coli</t>
  </si>
  <si>
    <t>Recherche bactériologique plus complète, antibiogramme …. Voir cas général</t>
  </si>
  <si>
    <t>Recherche de Salmonelles   (sans autre bactériologie)</t>
  </si>
  <si>
    <t>Recherche de Salmonelles   (avec autre bactériologie)</t>
  </si>
  <si>
    <t>MAMMITES</t>
  </si>
  <si>
    <t>Ensemencements (lait) avec recherche de levures</t>
  </si>
  <si>
    <t>Ensemencements (lait) sans recherche de levures</t>
  </si>
  <si>
    <t>Identification(s) de levure</t>
  </si>
  <si>
    <t>Toxines colibacillaires  Sta + Stb + Lt</t>
  </si>
  <si>
    <t>Entérotoxémie :  toxines de Clostridium perfringens.  Analyse seule</t>
  </si>
  <si>
    <t>Entérotoxémie :  toxines de Clostridium perfringens  En plus de bactériologie</t>
  </si>
  <si>
    <t>sous-total / analyses IS et PCR</t>
  </si>
  <si>
    <t>sous-total / parasito + bactériologie</t>
  </si>
  <si>
    <t>Recherche d'ESCHERICHIA coli   (seule et sans antibiogramme)</t>
  </si>
  <si>
    <t>Recherche d'ESCHERICHIA coli avec 1 antibiogramme</t>
  </si>
  <si>
    <t>Chronopost sur compte AabioVét  &lt; 1 kg sur bordereau envoyé par le labo  poids &lt; 1 kg</t>
  </si>
  <si>
    <t xml:space="preserve">Chronopost sur compte AabioVét, réalisé sur internet et poids &lt; 1 kg </t>
  </si>
  <si>
    <r>
      <t xml:space="preserve">ANTICORPS PARATUBERCULOSE screening </t>
    </r>
    <r>
      <rPr>
        <b/>
        <sz val="10"/>
        <rFont val="Arial"/>
        <family val="2"/>
      </rPr>
      <t>en grand  nombre  &gt;= 80 bêtes</t>
    </r>
  </si>
  <si>
    <r>
      <t xml:space="preserve">Anticorps Neosporose </t>
    </r>
    <r>
      <rPr>
        <b/>
        <sz val="10"/>
        <rFont val="Arial"/>
        <family val="2"/>
      </rPr>
      <t>en grand nombre (&gt;=45)</t>
    </r>
  </si>
  <si>
    <t>Indications sous réserves, le tarif dépendra du nombre de prélèvements, des analyses réalisées (identifications, germes fastideux, typages, antibiogrammes …)</t>
  </si>
  <si>
    <r>
      <t xml:space="preserve">Valable du 01/02/24 au 31/01/25  sauf avis contraire </t>
    </r>
    <r>
      <rPr>
        <sz val="10"/>
        <rFont val="Arial"/>
        <family val="2"/>
      </rPr>
      <t>(à vérifier régulièrement sur notre site internet)</t>
    </r>
  </si>
  <si>
    <t>Révision 2024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</si>
</sst>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000"/>
    <numFmt numFmtId="168" formatCode="0.0"/>
  </numFmts>
  <fonts count="7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Tahoma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sz val="10"/>
      <name val="Wingdings"/>
      <family val="0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trike/>
      <sz val="10"/>
      <name val="Arial"/>
      <family val="2"/>
    </font>
    <font>
      <b/>
      <u val="single"/>
      <sz val="12"/>
      <name val="Arial"/>
      <family val="2"/>
    </font>
    <font>
      <sz val="10"/>
      <name val="Courier New"/>
      <family val="3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8"/>
      <color indexed="10"/>
      <name val="Tahoma"/>
      <family val="0"/>
    </font>
    <font>
      <b/>
      <sz val="8"/>
      <color indexed="8"/>
      <name val="Tahoma"/>
      <family val="0"/>
    </font>
    <font>
      <b/>
      <sz val="10"/>
      <color indexed="10"/>
      <name val="Courier New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u val="single"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thick"/>
      <bottom style="medium"/>
    </border>
    <border>
      <left>
        <color indexed="63"/>
      </left>
      <right style="double"/>
      <top style="thick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0" fontId="6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252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2" fontId="0" fillId="0" borderId="0" xfId="0" applyNumberForma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center"/>
    </xf>
    <xf numFmtId="2" fontId="2" fillId="0" borderId="0" xfId="0" applyNumberFormat="1" applyFont="1" applyAlignment="1" quotePrefix="1">
      <alignment horizontal="center"/>
    </xf>
    <xf numFmtId="0" fontId="0" fillId="34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ill="1" applyAlignment="1" quotePrefix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ill="1" applyAlignment="1">
      <alignment/>
    </xf>
    <xf numFmtId="0" fontId="2" fillId="0" borderId="0" xfId="0" applyFont="1" applyAlignment="1" quotePrefix="1">
      <alignment horizontal="right"/>
    </xf>
    <xf numFmtId="2" fontId="0" fillId="0" borderId="0" xfId="0" applyNumberFormat="1" applyAlignment="1" quotePrefix="1">
      <alignment horizontal="right"/>
    </xf>
    <xf numFmtId="2" fontId="10" fillId="0" borderId="0" xfId="0" applyNumberFormat="1" applyFont="1" applyAlignment="1">
      <alignment/>
    </xf>
    <xf numFmtId="0" fontId="11" fillId="0" borderId="0" xfId="0" applyFont="1" applyAlignment="1" quotePrefix="1">
      <alignment horizontal="right"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/>
    </xf>
    <xf numFmtId="0" fontId="2" fillId="0" borderId="12" xfId="0" applyFont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38" borderId="13" xfId="0" applyFont="1" applyFill="1" applyBorder="1" applyAlignment="1">
      <alignment horizontal="center"/>
    </xf>
    <xf numFmtId="0" fontId="2" fillId="39" borderId="0" xfId="0" applyFont="1" applyFill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3" fontId="0" fillId="34" borderId="14" xfId="0" applyNumberFormat="1" applyFill="1" applyBorder="1" applyAlignment="1">
      <alignment horizontal="center"/>
    </xf>
    <xf numFmtId="4" fontId="0" fillId="34" borderId="15" xfId="0" applyNumberFormat="1" applyFill="1" applyBorder="1" applyAlignment="1">
      <alignment horizontal="center"/>
    </xf>
    <xf numFmtId="3" fontId="0" fillId="34" borderId="16" xfId="0" applyNumberFormat="1" applyFill="1" applyBorder="1" applyAlignment="1">
      <alignment horizontal="center"/>
    </xf>
    <xf numFmtId="4" fontId="0" fillId="34" borderId="17" xfId="0" applyNumberFormat="1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4" fontId="0" fillId="34" borderId="19" xfId="0" applyNumberFormat="1" applyFill="1" applyBorder="1" applyAlignment="1">
      <alignment horizontal="center"/>
    </xf>
    <xf numFmtId="3" fontId="0" fillId="35" borderId="20" xfId="0" applyNumberForma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3" fontId="0" fillId="35" borderId="16" xfId="0" applyNumberFormat="1" applyFill="1" applyBorder="1" applyAlignment="1">
      <alignment horizontal="center"/>
    </xf>
    <xf numFmtId="0" fontId="0" fillId="35" borderId="17" xfId="0" applyNumberFormat="1" applyFill="1" applyBorder="1" applyAlignment="1">
      <alignment horizontal="center"/>
    </xf>
    <xf numFmtId="3" fontId="0" fillId="35" borderId="18" xfId="0" applyNumberFormat="1" applyFill="1" applyBorder="1" applyAlignment="1">
      <alignment horizontal="center"/>
    </xf>
    <xf numFmtId="0" fontId="0" fillId="35" borderId="19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14" fillId="0" borderId="0" xfId="0" applyFont="1" applyAlignment="1" quotePrefix="1">
      <alignment horizontal="left"/>
    </xf>
    <xf numFmtId="14" fontId="14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7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1" fillId="0" borderId="12" xfId="0" applyFont="1" applyBorder="1" applyAlignment="1">
      <alignment/>
    </xf>
    <xf numFmtId="0" fontId="11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12" xfId="0" applyFont="1" applyBorder="1" applyAlignment="1">
      <alignment/>
    </xf>
    <xf numFmtId="0" fontId="10" fillId="38" borderId="13" xfId="0" applyFont="1" applyFill="1" applyBorder="1" applyAlignment="1">
      <alignment/>
    </xf>
    <xf numFmtId="0" fontId="10" fillId="38" borderId="25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0" fontId="10" fillId="38" borderId="26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44" fontId="10" fillId="0" borderId="13" xfId="43" applyFont="1" applyFill="1" applyBorder="1" applyAlignment="1">
      <alignment/>
    </xf>
    <xf numFmtId="0" fontId="10" fillId="0" borderId="13" xfId="0" applyFont="1" applyFill="1" applyBorder="1" applyAlignment="1">
      <alignment vertical="top"/>
    </xf>
    <xf numFmtId="0" fontId="10" fillId="0" borderId="0" xfId="0" applyFont="1" applyFill="1" applyBorder="1" applyAlignment="1" quotePrefix="1">
      <alignment horizontal="left" vertical="top" wrapText="1"/>
    </xf>
    <xf numFmtId="0" fontId="10" fillId="38" borderId="13" xfId="0" applyFont="1" applyFill="1" applyBorder="1" applyAlignment="1">
      <alignment vertical="top"/>
    </xf>
    <xf numFmtId="0" fontId="10" fillId="38" borderId="25" xfId="0" applyFont="1" applyFill="1" applyBorder="1" applyAlignment="1" quotePrefix="1">
      <alignment horizontal="left" vertical="top" wrapText="1"/>
    </xf>
    <xf numFmtId="0" fontId="10" fillId="38" borderId="0" xfId="0" applyFont="1" applyFill="1" applyBorder="1" applyAlignment="1" quotePrefix="1">
      <alignment horizontal="left" vertical="top" wrapText="1"/>
    </xf>
    <xf numFmtId="0" fontId="10" fillId="38" borderId="26" xfId="0" applyFont="1" applyFill="1" applyBorder="1" applyAlignment="1" quotePrefix="1">
      <alignment horizontal="left" vertical="top" wrapText="1"/>
    </xf>
    <xf numFmtId="0" fontId="10" fillId="38" borderId="13" xfId="0" applyFont="1" applyFill="1" applyBorder="1" applyAlignment="1" quotePrefix="1">
      <alignment vertical="top" wrapText="1"/>
    </xf>
    <xf numFmtId="0" fontId="10" fillId="38" borderId="25" xfId="0" applyFont="1" applyFill="1" applyBorder="1" applyAlignment="1" quotePrefix="1">
      <alignment horizontal="left"/>
    </xf>
    <xf numFmtId="44" fontId="10" fillId="38" borderId="13" xfId="43" applyFont="1" applyFill="1" applyBorder="1" applyAlignment="1">
      <alignment/>
    </xf>
    <xf numFmtId="0" fontId="10" fillId="38" borderId="13" xfId="0" applyFont="1" applyFill="1" applyBorder="1" applyAlignment="1" quotePrefix="1">
      <alignment horizontal="left" vertical="top" wrapText="1"/>
    </xf>
    <xf numFmtId="0" fontId="0" fillId="38" borderId="25" xfId="0" applyFill="1" applyBorder="1" applyAlignment="1">
      <alignment vertical="top" wrapText="1"/>
    </xf>
    <xf numFmtId="0" fontId="0" fillId="38" borderId="0" xfId="0" applyFill="1" applyBorder="1" applyAlignment="1">
      <alignment vertical="top" wrapText="1"/>
    </xf>
    <xf numFmtId="0" fontId="0" fillId="38" borderId="26" xfId="0" applyFill="1" applyBorder="1" applyAlignment="1">
      <alignment vertical="top" wrapText="1"/>
    </xf>
    <xf numFmtId="0" fontId="10" fillId="0" borderId="2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5" xfId="0" applyFont="1" applyFill="1" applyBorder="1" applyAlignment="1" quotePrefix="1">
      <alignment horizontal="left"/>
    </xf>
    <xf numFmtId="0" fontId="10" fillId="0" borderId="25" xfId="0" applyFont="1" applyFill="1" applyBorder="1" applyAlignment="1">
      <alignment horizontal="left"/>
    </xf>
    <xf numFmtId="0" fontId="10" fillId="38" borderId="25" xfId="0" applyFont="1" applyFill="1" applyBorder="1" applyAlignment="1">
      <alignment horizontal="left"/>
    </xf>
    <xf numFmtId="0" fontId="18" fillId="0" borderId="13" xfId="0" applyFont="1" applyFill="1" applyBorder="1" applyAlignment="1">
      <alignment vertical="top"/>
    </xf>
    <xf numFmtId="44" fontId="10" fillId="0" borderId="13" xfId="43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8" borderId="27" xfId="0" applyFill="1" applyBorder="1" applyAlignment="1">
      <alignment/>
    </xf>
    <xf numFmtId="0" fontId="10" fillId="38" borderId="27" xfId="0" applyFont="1" applyFill="1" applyBorder="1" applyAlignment="1" quotePrefix="1">
      <alignment horizontal="left" vertical="top" wrapText="1"/>
    </xf>
    <xf numFmtId="0" fontId="0" fillId="38" borderId="28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30" xfId="0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11" fillId="0" borderId="31" xfId="0" applyFont="1" applyBorder="1" applyAlignment="1" quotePrefix="1">
      <alignment horizontal="left"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0" xfId="0" applyFont="1" applyFill="1" applyAlignment="1" quotePrefix="1">
      <alignment horizontal="left" vertical="top" wrapText="1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Alignment="1" quotePrefix="1">
      <alignment/>
    </xf>
    <xf numFmtId="0" fontId="19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  <xf numFmtId="44" fontId="10" fillId="0" borderId="0" xfId="43" applyFont="1" applyAlignment="1">
      <alignment/>
    </xf>
    <xf numFmtId="0" fontId="20" fillId="0" borderId="0" xfId="0" applyFont="1" applyAlignment="1" quotePrefix="1">
      <alignment horizontal="left"/>
    </xf>
    <xf numFmtId="0" fontId="11" fillId="38" borderId="25" xfId="0" applyFont="1" applyFill="1" applyBorder="1" applyAlignment="1">
      <alignment horizontal="center"/>
    </xf>
    <xf numFmtId="0" fontId="11" fillId="38" borderId="26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8" borderId="0" xfId="0" applyFont="1" applyFill="1" applyBorder="1" applyAlignment="1">
      <alignment/>
    </xf>
    <xf numFmtId="0" fontId="11" fillId="38" borderId="26" xfId="0" applyFont="1" applyFill="1" applyBorder="1" applyAlignment="1">
      <alignment/>
    </xf>
    <xf numFmtId="0" fontId="10" fillId="0" borderId="0" xfId="0" applyFont="1" applyBorder="1" applyAlignment="1" quotePrefix="1">
      <alignment horizontal="center"/>
    </xf>
    <xf numFmtId="0" fontId="10" fillId="0" borderId="26" xfId="0" applyFont="1" applyBorder="1" applyAlignment="1">
      <alignment/>
    </xf>
    <xf numFmtId="0" fontId="10" fillId="0" borderId="25" xfId="0" applyFont="1" applyBorder="1" applyAlignment="1" quotePrefix="1">
      <alignment horizontal="left"/>
    </xf>
    <xf numFmtId="0" fontId="10" fillId="0" borderId="2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5" fillId="0" borderId="0" xfId="45" applyFont="1" applyAlignment="1" applyProtection="1" quotePrefix="1">
      <alignment horizontal="left"/>
      <protection/>
    </xf>
    <xf numFmtId="0" fontId="2" fillId="0" borderId="0" xfId="0" applyFont="1" applyAlignment="1">
      <alignment horizontal="left"/>
    </xf>
    <xf numFmtId="0" fontId="22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10" fillId="0" borderId="26" xfId="0" applyFont="1" applyFill="1" applyBorder="1" applyAlignment="1" quotePrefix="1">
      <alignment horizontal="left" vertical="top" wrapText="1"/>
    </xf>
    <xf numFmtId="0" fontId="10" fillId="0" borderId="0" xfId="0" applyFont="1" applyAlignment="1">
      <alignment/>
    </xf>
    <xf numFmtId="0" fontId="0" fillId="0" borderId="0" xfId="0" applyAlignment="1" quotePrefix="1">
      <alignment horizontal="left" vertical="center" wrapText="1"/>
    </xf>
    <xf numFmtId="0" fontId="2" fillId="0" borderId="0" xfId="0" applyFont="1" applyAlignment="1" quotePrefix="1">
      <alignment horizontal="left" wrapText="1"/>
    </xf>
    <xf numFmtId="0" fontId="0" fillId="0" borderId="13" xfId="0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Font="1" applyAlignment="1" quotePrefix="1">
      <alignment horizontal="left" wrapText="1"/>
    </xf>
    <xf numFmtId="2" fontId="23" fillId="0" borderId="0" xfId="0" applyNumberFormat="1" applyFont="1" applyAlignment="1">
      <alignment/>
    </xf>
    <xf numFmtId="0" fontId="7" fillId="40" borderId="0" xfId="0" applyFont="1" applyFill="1" applyAlignment="1" quotePrefix="1">
      <alignment horizontal="center"/>
    </xf>
    <xf numFmtId="0" fontId="0" fillId="38" borderId="0" xfId="0" applyFill="1" applyAlignment="1">
      <alignment vertical="center"/>
    </xf>
    <xf numFmtId="14" fontId="0" fillId="34" borderId="0" xfId="0" applyNumberFormat="1" applyFill="1" applyAlignment="1">
      <alignment/>
    </xf>
    <xf numFmtId="44" fontId="10" fillId="0" borderId="0" xfId="43" applyFont="1" applyFill="1" applyAlignment="1">
      <alignment/>
    </xf>
    <xf numFmtId="44" fontId="11" fillId="0" borderId="0" xfId="43" applyFont="1" applyFill="1" applyAlignment="1">
      <alignment/>
    </xf>
    <xf numFmtId="44" fontId="25" fillId="0" borderId="13" xfId="43" applyFont="1" applyFill="1" applyBorder="1" applyAlignment="1">
      <alignment vertical="center"/>
    </xf>
    <xf numFmtId="0" fontId="10" fillId="0" borderId="0" xfId="0" applyFont="1" applyFill="1" applyBorder="1" applyAlignment="1" quotePrefix="1">
      <alignment/>
    </xf>
    <xf numFmtId="0" fontId="0" fillId="0" borderId="25" xfId="0" applyFont="1" applyFill="1" applyBorder="1" applyAlignment="1" quotePrefix="1">
      <alignment horizontal="left"/>
    </xf>
    <xf numFmtId="0" fontId="10" fillId="0" borderId="0" xfId="0" applyFont="1" applyFill="1" applyAlignment="1" quotePrefix="1">
      <alignment horizontal="right"/>
    </xf>
    <xf numFmtId="2" fontId="10" fillId="0" borderId="0" xfId="0" applyNumberFormat="1" applyFont="1" applyFill="1" applyAlignment="1">
      <alignment/>
    </xf>
    <xf numFmtId="2" fontId="0" fillId="0" borderId="0" xfId="0" applyNumberFormat="1" applyFont="1" applyAlignment="1" quotePrefix="1">
      <alignment horizontal="left"/>
    </xf>
    <xf numFmtId="0" fontId="0" fillId="41" borderId="0" xfId="0" applyFill="1" applyAlignment="1">
      <alignment/>
    </xf>
    <xf numFmtId="0" fontId="0" fillId="0" borderId="13" xfId="0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75" fillId="0" borderId="0" xfId="0" applyFont="1" applyAlignment="1" quotePrefix="1">
      <alignment horizontal="left" vertical="center" wrapText="1"/>
    </xf>
    <xf numFmtId="0" fontId="10" fillId="0" borderId="25" xfId="0" applyFont="1" applyFill="1" applyBorder="1" applyAlignment="1" quotePrefix="1">
      <alignment horizontal="left"/>
    </xf>
    <xf numFmtId="0" fontId="27" fillId="37" borderId="0" xfId="0" applyFont="1" applyFill="1" applyAlignment="1" quotePrefix="1">
      <alignment horizontal="left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0" xfId="0" applyFont="1" applyFill="1" applyAlignment="1" applyProtection="1">
      <alignment vertical="center" wrapText="1"/>
      <protection hidden="1"/>
    </xf>
    <xf numFmtId="0" fontId="3" fillId="33" borderId="0" xfId="0" applyFont="1" applyFill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0" fillId="42" borderId="0" xfId="0" applyFont="1" applyFill="1" applyAlignment="1">
      <alignment horizontal="center"/>
    </xf>
    <xf numFmtId="0" fontId="2" fillId="42" borderId="0" xfId="0" applyFont="1" applyFill="1" applyAlignment="1">
      <alignment horizontal="center"/>
    </xf>
    <xf numFmtId="2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5" xfId="0" applyFont="1" applyBorder="1" applyAlignment="1" quotePrefix="1">
      <alignment horizontal="left" vertical="center"/>
    </xf>
    <xf numFmtId="0" fontId="0" fillId="0" borderId="0" xfId="0" applyAlignment="1">
      <alignment horizontal="left" vertical="center"/>
    </xf>
    <xf numFmtId="0" fontId="0" fillId="38" borderId="34" xfId="0" applyFill="1" applyBorder="1" applyAlignment="1">
      <alignment horizontal="center" wrapText="1"/>
    </xf>
    <xf numFmtId="0" fontId="0" fillId="38" borderId="35" xfId="0" applyFill="1" applyBorder="1" applyAlignment="1">
      <alignment horizontal="center" wrapText="1"/>
    </xf>
    <xf numFmtId="0" fontId="24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33" borderId="0" xfId="0" applyFont="1" applyFill="1" applyAlignment="1" applyProtection="1" quotePrefix="1">
      <alignment horizontal="center" vertical="center" wrapText="1"/>
      <protection hidden="1"/>
    </xf>
    <xf numFmtId="0" fontId="10" fillId="0" borderId="25" xfId="0" applyFont="1" applyFill="1" applyBorder="1" applyAlignment="1" quotePrefix="1">
      <alignment horizontal="center" vertical="top" wrapText="1"/>
    </xf>
    <xf numFmtId="0" fontId="10" fillId="0" borderId="0" xfId="0" applyFont="1" applyFill="1" applyBorder="1" applyAlignment="1" quotePrefix="1">
      <alignment horizontal="center" vertical="top" wrapText="1"/>
    </xf>
    <xf numFmtId="0" fontId="10" fillId="0" borderId="25" xfId="0" applyFont="1" applyFill="1" applyBorder="1" applyAlignment="1" quotePrefix="1">
      <alignment horizontal="center" vertical="center" wrapText="1"/>
    </xf>
    <xf numFmtId="0" fontId="10" fillId="0" borderId="0" xfId="0" applyFont="1" applyFill="1" applyBorder="1" applyAlignment="1" quotePrefix="1">
      <alignment horizontal="center" vertical="center" wrapText="1"/>
    </xf>
    <xf numFmtId="0" fontId="10" fillId="0" borderId="26" xfId="0" applyFont="1" applyFill="1" applyBorder="1" applyAlignment="1" quotePrefix="1">
      <alignment horizontal="center" vertical="center" wrapText="1"/>
    </xf>
    <xf numFmtId="0" fontId="10" fillId="0" borderId="25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0" fillId="0" borderId="26" xfId="0" applyFont="1" applyFill="1" applyBorder="1" applyAlignment="1" quotePrefix="1">
      <alignment horizontal="center"/>
    </xf>
    <xf numFmtId="0" fontId="10" fillId="0" borderId="26" xfId="0" applyFont="1" applyFill="1" applyBorder="1" applyAlignment="1" quotePrefix="1">
      <alignment horizontal="center" vertical="top" wrapText="1"/>
    </xf>
    <xf numFmtId="0" fontId="0" fillId="0" borderId="25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11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10" fillId="0" borderId="31" xfId="0" applyFont="1" applyFill="1" applyBorder="1" applyAlignment="1" quotePrefix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5" fillId="0" borderId="0" xfId="0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0" fillId="0" borderId="25" xfId="0" applyFont="1" applyFill="1" applyBorder="1" applyAlignment="1" quotePrefix="1">
      <alignment horizontal="left" vertical="top" wrapText="1"/>
    </xf>
    <xf numFmtId="0" fontId="10" fillId="0" borderId="0" xfId="0" applyFont="1" applyFill="1" applyBorder="1" applyAlignment="1" quotePrefix="1">
      <alignment horizontal="left" vertical="top" wrapText="1"/>
    </xf>
    <xf numFmtId="0" fontId="10" fillId="0" borderId="26" xfId="0" applyFont="1" applyFill="1" applyBorder="1" applyAlignment="1" quotePrefix="1">
      <alignment horizontal="left" vertical="top" wrapText="1"/>
    </xf>
    <xf numFmtId="0" fontId="16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2" fontId="10" fillId="0" borderId="28" xfId="0" applyNumberFormat="1" applyFont="1" applyBorder="1" applyAlignment="1" quotePrefix="1">
      <alignment horizontal="center"/>
    </xf>
    <xf numFmtId="2" fontId="10" fillId="0" borderId="29" xfId="0" applyNumberFormat="1" applyFont="1" applyBorder="1" applyAlignment="1" quotePrefix="1">
      <alignment horizontal="center"/>
    </xf>
    <xf numFmtId="2" fontId="10" fillId="0" borderId="30" xfId="0" applyNumberFormat="1" applyFont="1" applyBorder="1" applyAlignment="1" quotePrefix="1">
      <alignment horizontal="center"/>
    </xf>
    <xf numFmtId="0" fontId="11" fillId="38" borderId="22" xfId="0" applyFont="1" applyFill="1" applyBorder="1" applyAlignment="1">
      <alignment horizontal="center"/>
    </xf>
    <xf numFmtId="0" fontId="11" fillId="38" borderId="24" xfId="0" applyFont="1" applyFill="1" applyBorder="1" applyAlignment="1">
      <alignment horizontal="center"/>
    </xf>
    <xf numFmtId="0" fontId="10" fillId="0" borderId="25" xfId="0" applyFont="1" applyBorder="1" applyAlignment="1" quotePrefix="1">
      <alignment horizontal="center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 quotePrefix="1">
      <alignment horizontal="center"/>
    </xf>
    <xf numFmtId="2" fontId="10" fillId="0" borderId="28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0" fontId="10" fillId="0" borderId="13" xfId="0" applyFont="1" applyFill="1" applyBorder="1" applyAlignment="1" quotePrefix="1">
      <alignment horizontal="left" vertical="top" wrapText="1"/>
    </xf>
    <xf numFmtId="0" fontId="10" fillId="0" borderId="25" xfId="0" applyFont="1" applyFill="1" applyBorder="1" applyAlignment="1" quotePrefix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10" fillId="0" borderId="28" xfId="0" applyNumberFormat="1" applyFont="1" applyFill="1" applyBorder="1" applyAlignment="1" quotePrefix="1">
      <alignment horizontal="center"/>
    </xf>
    <xf numFmtId="2" fontId="10" fillId="0" borderId="29" xfId="0" applyNumberFormat="1" applyFont="1" applyFill="1" applyBorder="1" applyAlignment="1">
      <alignment/>
    </xf>
    <xf numFmtId="2" fontId="10" fillId="0" borderId="30" xfId="0" applyNumberFormat="1" applyFont="1" applyFill="1" applyBorder="1" applyAlignment="1">
      <alignment/>
    </xf>
    <xf numFmtId="0" fontId="0" fillId="0" borderId="0" xfId="0" applyFont="1" applyAlignment="1" quotePrefix="1">
      <alignment horizontal="center"/>
    </xf>
    <xf numFmtId="0" fontId="18" fillId="0" borderId="0" xfId="0" applyFont="1" applyAlignment="1" quotePrefix="1">
      <alignment horizontal="center"/>
    </xf>
    <xf numFmtId="0" fontId="11" fillId="38" borderId="23" xfId="0" applyFont="1" applyFill="1" applyBorder="1" applyAlignment="1">
      <alignment/>
    </xf>
    <xf numFmtId="0" fontId="11" fillId="38" borderId="24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26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0" fontId="14" fillId="0" borderId="26" xfId="0" applyFont="1" applyBorder="1" applyAlignment="1">
      <alignment/>
    </xf>
    <xf numFmtId="9" fontId="10" fillId="0" borderId="25" xfId="0" applyNumberFormat="1" applyFont="1" applyBorder="1" applyAlignment="1">
      <alignment horizontal="center"/>
    </xf>
    <xf numFmtId="0" fontId="11" fillId="38" borderId="23" xfId="0" applyFont="1" applyFill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9" fontId="10" fillId="0" borderId="0" xfId="0" applyNumberFormat="1" applyFont="1" applyBorder="1" applyAlignment="1">
      <alignment horizontal="center"/>
    </xf>
    <xf numFmtId="9" fontId="10" fillId="0" borderId="26" xfId="0" applyNumberFormat="1" applyFont="1" applyBorder="1" applyAlignment="1">
      <alignment horizontal="center"/>
    </xf>
    <xf numFmtId="0" fontId="11" fillId="33" borderId="0" xfId="0" applyFont="1" applyFill="1" applyAlignment="1" applyProtection="1" quotePrefix="1">
      <alignment horizontal="center" vertical="center" wrapText="1"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57" fillId="33" borderId="0" xfId="0" applyFont="1" applyFill="1" applyAlignment="1" applyProtection="1">
      <alignment horizontal="center"/>
      <protection hidden="1"/>
    </xf>
    <xf numFmtId="0" fontId="24" fillId="34" borderId="0" xfId="0" applyFont="1" applyFill="1" applyAlignment="1">
      <alignment horizontal="center"/>
    </xf>
    <xf numFmtId="0" fontId="24" fillId="34" borderId="0" xfId="0" applyFont="1" applyFill="1" applyAlignment="1" quotePrefix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7">
    <dxf>
      <font>
        <b/>
        <i val="0"/>
        <u val="double"/>
        <color indexed="10"/>
      </font>
    </dxf>
    <dxf>
      <font>
        <b/>
        <i val="0"/>
        <color indexed="10"/>
      </font>
    </dxf>
    <dxf>
      <font>
        <b/>
        <i val="0"/>
        <u val="double"/>
        <color indexed="10"/>
      </font>
    </dxf>
    <dxf>
      <font>
        <color rgb="FF9C0006"/>
      </font>
    </dxf>
    <dxf>
      <font>
        <color rgb="FFFF0000"/>
      </font>
    </dxf>
    <dxf>
      <font>
        <b/>
        <i val="0"/>
        <u val="double"/>
        <color indexed="10"/>
      </font>
    </dxf>
    <dxf>
      <font>
        <b/>
        <i val="0"/>
        <u val="double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26</xdr:row>
      <xdr:rowOff>47625</xdr:rowOff>
    </xdr:from>
    <xdr:to>
      <xdr:col>16</xdr:col>
      <xdr:colOff>790575</xdr:colOff>
      <xdr:row>29</xdr:row>
      <xdr:rowOff>161925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10658475" y="4676775"/>
          <a:ext cx="15525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ATTENTION :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le prix unitaire baisse souvent en fonction du nombre d'animaux testés</a:t>
          </a:r>
        </a:p>
      </xdr:txBody>
    </xdr:sp>
    <xdr:clientData/>
  </xdr:twoCellAnchor>
  <xdr:twoCellAnchor>
    <xdr:from>
      <xdr:col>15</xdr:col>
      <xdr:colOff>38100</xdr:colOff>
      <xdr:row>85</xdr:row>
      <xdr:rowOff>47625</xdr:rowOff>
    </xdr:from>
    <xdr:to>
      <xdr:col>16</xdr:col>
      <xdr:colOff>809625</xdr:colOff>
      <xdr:row>89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0668000" y="15278100"/>
          <a:ext cx="15621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ATTENTION :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le prix unitaire baisse souvent en fonction du nombre d'animaux testés</a:t>
          </a:r>
        </a:p>
      </xdr:txBody>
    </xdr:sp>
    <xdr:clientData/>
  </xdr:twoCellAnchor>
  <xdr:twoCellAnchor>
    <xdr:from>
      <xdr:col>15</xdr:col>
      <xdr:colOff>28575</xdr:colOff>
      <xdr:row>45</xdr:row>
      <xdr:rowOff>47625</xdr:rowOff>
    </xdr:from>
    <xdr:to>
      <xdr:col>16</xdr:col>
      <xdr:colOff>619125</xdr:colOff>
      <xdr:row>49</xdr:row>
      <xdr:rowOff>142875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10658475" y="7943850"/>
          <a:ext cx="1381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ATTENTION :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le prix unitaire baisse souvent en fonction du nombre d'animaux testés</a:t>
          </a:r>
        </a:p>
      </xdr:txBody>
    </xdr:sp>
    <xdr:clientData/>
  </xdr:twoCellAnchor>
  <xdr:twoCellAnchor>
    <xdr:from>
      <xdr:col>2</xdr:col>
      <xdr:colOff>533400</xdr:colOff>
      <xdr:row>11</xdr:row>
      <xdr:rowOff>47625</xdr:rowOff>
    </xdr:from>
    <xdr:to>
      <xdr:col>3</xdr:col>
      <xdr:colOff>1152525</xdr:colOff>
      <xdr:row>14</xdr:row>
      <xdr:rowOff>57150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3533775" y="1933575"/>
          <a:ext cx="46101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Pour un grand nombre d'animaux,informez nous des tarifs de la concurrence, souvent très différents d'un département à l'autre :  nous saurons probablement nous adapter.</a:t>
          </a:r>
        </a:p>
      </xdr:txBody>
    </xdr:sp>
    <xdr:clientData/>
  </xdr:twoCellAnchor>
  <xdr:twoCellAnchor>
    <xdr:from>
      <xdr:col>0</xdr:col>
      <xdr:colOff>38100</xdr:colOff>
      <xdr:row>82</xdr:row>
      <xdr:rowOff>0</xdr:rowOff>
    </xdr:from>
    <xdr:to>
      <xdr:col>0</xdr:col>
      <xdr:colOff>1247775</xdr:colOff>
      <xdr:row>84</xdr:row>
      <xdr:rowOff>123825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38100" y="14735175"/>
          <a:ext cx="12096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Nous contacter pour des analyses régulières du même éleveur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1209675</xdr:colOff>
      <xdr:row>6</xdr:row>
      <xdr:rowOff>76200</xdr:rowOff>
    </xdr:to>
    <xdr:pic>
      <xdr:nvPicPr>
        <xdr:cNvPr id="6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104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14</xdr:row>
      <xdr:rowOff>85725</xdr:rowOff>
    </xdr:from>
    <xdr:to>
      <xdr:col>3</xdr:col>
      <xdr:colOff>1495425</xdr:colOff>
      <xdr:row>15</xdr:row>
      <xdr:rowOff>161925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3381375" y="2571750"/>
          <a:ext cx="51054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Voir aussi nos tarifs spéciaux pour suivis sanitaires réguliers (second onglet Excel)</a:t>
          </a:r>
        </a:p>
      </xdr:txBody>
    </xdr:sp>
    <xdr:clientData/>
  </xdr:twoCellAnchor>
  <xdr:twoCellAnchor>
    <xdr:from>
      <xdr:col>0</xdr:col>
      <xdr:colOff>47625</xdr:colOff>
      <xdr:row>17</xdr:row>
      <xdr:rowOff>142875</xdr:rowOff>
    </xdr:from>
    <xdr:to>
      <xdr:col>0</xdr:col>
      <xdr:colOff>1828800</xdr:colOff>
      <xdr:row>32</xdr:row>
      <xdr:rowOff>85725</xdr:rowOff>
    </xdr:to>
    <xdr:sp>
      <xdr:nvSpPr>
        <xdr:cNvPr id="8" name="ZoneTexte 1"/>
        <xdr:cNvSpPr txBox="1">
          <a:spLocks noChangeArrowheads="1"/>
        </xdr:cNvSpPr>
      </xdr:nvSpPr>
      <xdr:spPr>
        <a:xfrm>
          <a:off x="47625" y="3209925"/>
          <a:ext cx="1781175" cy="2533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Avertissement 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tarifs indiqués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prennent en compte une réduction systématique de 10 % sur les analyses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qui s'applique à tout éleveur favorablement connu de nos services ou nouveau client.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Elle s'applique aussi si le cabinet prend  en charge les analyses pour tout autre client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16</xdr:col>
      <xdr:colOff>771525</xdr:colOff>
      <xdr:row>103</xdr:row>
      <xdr:rowOff>104775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10629900" y="17659350"/>
          <a:ext cx="15621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En général, à partir de 3 prélèvements, réduction supplémentaire de 7%
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Les tarifs indiqués en tiennent compte</a:t>
          </a:r>
        </a:p>
      </xdr:txBody>
    </xdr:sp>
    <xdr:clientData/>
  </xdr:twoCellAnchor>
  <xdr:twoCellAnchor>
    <xdr:from>
      <xdr:col>2</xdr:col>
      <xdr:colOff>3448050</xdr:colOff>
      <xdr:row>0</xdr:row>
      <xdr:rowOff>38100</xdr:rowOff>
    </xdr:from>
    <xdr:to>
      <xdr:col>15</xdr:col>
      <xdr:colOff>752475</xdr:colOff>
      <xdr:row>10</xdr:row>
      <xdr:rowOff>95250</xdr:rowOff>
    </xdr:to>
    <xdr:sp>
      <xdr:nvSpPr>
        <xdr:cNvPr id="10" name="ZoneTexte 3"/>
        <xdr:cNvSpPr txBox="1">
          <a:spLocks noChangeArrowheads="1"/>
        </xdr:cNvSpPr>
      </xdr:nvSpPr>
      <xdr:spPr>
        <a:xfrm>
          <a:off x="6448425" y="38100"/>
          <a:ext cx="49339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vous imprimez ce document pour servir de demande d'analyse, indiquez ici ou en bas de deuxième feuille vos renseignements et commémoratifs.  Merci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6</xdr:row>
      <xdr:rowOff>66675</xdr:rowOff>
    </xdr:from>
    <xdr:to>
      <xdr:col>1</xdr:col>
      <xdr:colOff>1343025</xdr:colOff>
      <xdr:row>12</xdr:row>
      <xdr:rowOff>9525</xdr:rowOff>
    </xdr:to>
    <xdr:pic>
      <xdr:nvPicPr>
        <xdr:cNvPr id="1" name="Picture 1" descr="MC900432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238250"/>
          <a:ext cx="14001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27</xdr:row>
      <xdr:rowOff>0</xdr:rowOff>
    </xdr:from>
    <xdr:to>
      <xdr:col>0</xdr:col>
      <xdr:colOff>666750</xdr:colOff>
      <xdr:row>27</xdr:row>
      <xdr:rowOff>523875</xdr:rowOff>
    </xdr:to>
    <xdr:pic>
      <xdr:nvPicPr>
        <xdr:cNvPr id="2" name="Picture 4" descr="bous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3721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37</xdr:row>
      <xdr:rowOff>19050</xdr:rowOff>
    </xdr:from>
    <xdr:to>
      <xdr:col>0</xdr:col>
      <xdr:colOff>733425</xdr:colOff>
      <xdr:row>39</xdr:row>
      <xdr:rowOff>171450</xdr:rowOff>
    </xdr:to>
    <xdr:pic>
      <xdr:nvPicPr>
        <xdr:cNvPr id="3" name="Picture 5" descr="lait bid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7848600"/>
          <a:ext cx="323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41</xdr:row>
      <xdr:rowOff>19050</xdr:rowOff>
    </xdr:from>
    <xdr:to>
      <xdr:col>0</xdr:col>
      <xdr:colOff>733425</xdr:colOff>
      <xdr:row>43</xdr:row>
      <xdr:rowOff>171450</xdr:rowOff>
    </xdr:to>
    <xdr:pic>
      <xdr:nvPicPr>
        <xdr:cNvPr id="4" name="Picture 6" descr="lait bid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8582025"/>
          <a:ext cx="323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45</xdr:row>
      <xdr:rowOff>19050</xdr:rowOff>
    </xdr:from>
    <xdr:to>
      <xdr:col>0</xdr:col>
      <xdr:colOff>733425</xdr:colOff>
      <xdr:row>47</xdr:row>
      <xdr:rowOff>171450</xdr:rowOff>
    </xdr:to>
    <xdr:pic>
      <xdr:nvPicPr>
        <xdr:cNvPr id="5" name="Picture 7" descr="lait bid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9315450"/>
          <a:ext cx="323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49</xdr:row>
      <xdr:rowOff>19050</xdr:rowOff>
    </xdr:from>
    <xdr:to>
      <xdr:col>0</xdr:col>
      <xdr:colOff>733425</xdr:colOff>
      <xdr:row>51</xdr:row>
      <xdr:rowOff>171450</xdr:rowOff>
    </xdr:to>
    <xdr:pic>
      <xdr:nvPicPr>
        <xdr:cNvPr id="6" name="Picture 8" descr="lait bid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10048875"/>
          <a:ext cx="323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53</xdr:row>
      <xdr:rowOff>19050</xdr:rowOff>
    </xdr:from>
    <xdr:to>
      <xdr:col>0</xdr:col>
      <xdr:colOff>733425</xdr:colOff>
      <xdr:row>55</xdr:row>
      <xdr:rowOff>171450</xdr:rowOff>
    </xdr:to>
    <xdr:pic>
      <xdr:nvPicPr>
        <xdr:cNvPr id="7" name="Picture 9" descr="lait bid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10782300"/>
          <a:ext cx="323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56</xdr:row>
      <xdr:rowOff>66675</xdr:rowOff>
    </xdr:from>
    <xdr:to>
      <xdr:col>0</xdr:col>
      <xdr:colOff>752475</xdr:colOff>
      <xdr:row>58</xdr:row>
      <xdr:rowOff>66675</xdr:rowOff>
    </xdr:to>
    <xdr:pic>
      <xdr:nvPicPr>
        <xdr:cNvPr id="8" name="Picture 10" descr="tube de sa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133306">
          <a:off x="419100" y="11344275"/>
          <a:ext cx="33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61</xdr:row>
      <xdr:rowOff>47625</xdr:rowOff>
    </xdr:from>
    <xdr:to>
      <xdr:col>0</xdr:col>
      <xdr:colOff>762000</xdr:colOff>
      <xdr:row>63</xdr:row>
      <xdr:rowOff>76200</xdr:rowOff>
    </xdr:to>
    <xdr:pic>
      <xdr:nvPicPr>
        <xdr:cNvPr id="9" name="Picture 11" descr="tube de sa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133306">
          <a:off x="428625" y="12315825"/>
          <a:ext cx="333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17</xdr:row>
      <xdr:rowOff>19050</xdr:rowOff>
    </xdr:from>
    <xdr:to>
      <xdr:col>10</xdr:col>
      <xdr:colOff>66675</xdr:colOff>
      <xdr:row>21</xdr:row>
      <xdr:rowOff>123825</xdr:rowOff>
    </xdr:to>
    <xdr:sp>
      <xdr:nvSpPr>
        <xdr:cNvPr id="10" name="WordArt 12"/>
        <xdr:cNvSpPr>
          <a:spLocks/>
        </xdr:cNvSpPr>
      </xdr:nvSpPr>
      <xdr:spPr>
        <a:xfrm>
          <a:off x="6276975" y="3486150"/>
          <a:ext cx="2743200" cy="86677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Partenariat éleveur- vétérinaire-Aabiovét</a:t>
          </a:r>
        </a:p>
      </xdr:txBody>
    </xdr:sp>
    <xdr:clientData/>
  </xdr:twoCellAnchor>
  <xdr:twoCellAnchor editAs="oneCell">
    <xdr:from>
      <xdr:col>0</xdr:col>
      <xdr:colOff>123825</xdr:colOff>
      <xdr:row>32</xdr:row>
      <xdr:rowOff>28575</xdr:rowOff>
    </xdr:from>
    <xdr:to>
      <xdr:col>0</xdr:col>
      <xdr:colOff>771525</xdr:colOff>
      <xdr:row>33</xdr:row>
      <xdr:rowOff>133350</xdr:rowOff>
    </xdr:to>
    <xdr:pic>
      <xdr:nvPicPr>
        <xdr:cNvPr id="11" name="Picture 13" descr="Stérisox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6743700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108</xdr:row>
      <xdr:rowOff>76200</xdr:rowOff>
    </xdr:from>
    <xdr:to>
      <xdr:col>10</xdr:col>
      <xdr:colOff>47625</xdr:colOff>
      <xdr:row>112</xdr:row>
      <xdr:rowOff>142875</xdr:rowOff>
    </xdr:to>
    <xdr:sp>
      <xdr:nvSpPr>
        <xdr:cNvPr id="12" name="WordArt 15"/>
        <xdr:cNvSpPr>
          <a:spLocks/>
        </xdr:cNvSpPr>
      </xdr:nvSpPr>
      <xdr:spPr>
        <a:xfrm>
          <a:off x="6257925" y="21574125"/>
          <a:ext cx="2743200" cy="82867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Partenariat éleveur- vétérinaire-Aabiovét</a:t>
          </a:r>
        </a:p>
      </xdr:txBody>
    </xdr:sp>
    <xdr:clientData/>
  </xdr:twoCellAnchor>
  <xdr:twoCellAnchor editAs="oneCell">
    <xdr:from>
      <xdr:col>1</xdr:col>
      <xdr:colOff>38100</xdr:colOff>
      <xdr:row>27</xdr:row>
      <xdr:rowOff>485775</xdr:rowOff>
    </xdr:from>
    <xdr:to>
      <xdr:col>1</xdr:col>
      <xdr:colOff>361950</xdr:colOff>
      <xdr:row>30</xdr:row>
      <xdr:rowOff>66675</xdr:rowOff>
    </xdr:to>
    <xdr:pic>
      <xdr:nvPicPr>
        <xdr:cNvPr id="13" name="Picture 17" descr="lait bid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5857875"/>
          <a:ext cx="323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6</xdr:row>
      <xdr:rowOff>76200</xdr:rowOff>
    </xdr:from>
    <xdr:to>
      <xdr:col>9</xdr:col>
      <xdr:colOff>742950</xdr:colOff>
      <xdr:row>16</xdr:row>
      <xdr:rowOff>142875</xdr:rowOff>
    </xdr:to>
    <xdr:pic>
      <xdr:nvPicPr>
        <xdr:cNvPr id="14" name="Image 2"/>
        <xdr:cNvPicPr preferRelativeResize="1">
          <a:picLocks noChangeAspect="1"/>
        </xdr:cNvPicPr>
      </xdr:nvPicPr>
      <xdr:blipFill>
        <a:blip r:embed="rId6"/>
        <a:srcRect l="61837" t="27593" r="15151" b="24586"/>
        <a:stretch>
          <a:fillRect/>
        </a:stretch>
      </xdr:blipFill>
      <xdr:spPr>
        <a:xfrm>
          <a:off x="7362825" y="1247775"/>
          <a:ext cx="14763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&#201;LU%20Serge\Desktop\Mes%20docs\qualit&#233;\Rapport%20d'analyses%20bovins%20simplifi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ue1"/>
      <sheetName val="MACRO1"/>
      <sheetName val="Facture"/>
      <sheetName val="Rapport Général"/>
      <sheetName val="Pré-rapport ELISA mono"/>
      <sheetName val="Pré-rapport ELISA bi sans TN"/>
      <sheetName val="Données KIT"/>
      <sheetName val="Paramètres"/>
      <sheetName val="Tarifs"/>
      <sheetName val="Réductions"/>
      <sheetName val="Propriétaires"/>
      <sheetName val="Vétos"/>
      <sheetName val="Organismes"/>
      <sheetName val="Interprétations"/>
      <sheetName val="Observations"/>
      <sheetName val="Observ. général"/>
    </sheetNames>
    <sheetDataSet>
      <sheetData sheetId="9">
        <row r="2">
          <cell r="A2" t="str">
            <v>Nb d'échantillons</v>
          </cell>
          <cell r="B2" t="str">
            <v>Coeff. multiplicateur</v>
          </cell>
        </row>
        <row r="3">
          <cell r="A3">
            <v>1</v>
          </cell>
          <cell r="B3">
            <v>2.5</v>
          </cell>
        </row>
        <row r="4">
          <cell r="A4">
            <v>2</v>
          </cell>
          <cell r="B4">
            <v>2</v>
          </cell>
        </row>
        <row r="5">
          <cell r="A5">
            <v>3</v>
          </cell>
          <cell r="B5">
            <v>1.5</v>
          </cell>
        </row>
        <row r="6">
          <cell r="A6">
            <v>4</v>
          </cell>
          <cell r="B6">
            <v>1.5</v>
          </cell>
        </row>
        <row r="7">
          <cell r="A7">
            <v>5</v>
          </cell>
          <cell r="B7">
            <v>1.25</v>
          </cell>
        </row>
        <row r="8">
          <cell r="A8">
            <v>6</v>
          </cell>
          <cell r="B8">
            <v>1.25</v>
          </cell>
        </row>
        <row r="9">
          <cell r="A9">
            <v>7</v>
          </cell>
          <cell r="B9">
            <v>1.25</v>
          </cell>
        </row>
        <row r="10">
          <cell r="A10">
            <v>8</v>
          </cell>
          <cell r="B10">
            <v>1.25</v>
          </cell>
        </row>
        <row r="11">
          <cell r="A11">
            <v>9</v>
          </cell>
          <cell r="B11">
            <v>1.25</v>
          </cell>
        </row>
        <row r="12">
          <cell r="A12">
            <v>10</v>
          </cell>
          <cell r="B12">
            <v>1.15</v>
          </cell>
        </row>
        <row r="13">
          <cell r="A13">
            <v>11</v>
          </cell>
          <cell r="B13">
            <v>1.15</v>
          </cell>
        </row>
        <row r="14">
          <cell r="A14">
            <v>12</v>
          </cell>
          <cell r="B14">
            <v>1.15</v>
          </cell>
        </row>
        <row r="15">
          <cell r="A15">
            <v>13</v>
          </cell>
          <cell r="B15">
            <v>1.15</v>
          </cell>
        </row>
        <row r="16">
          <cell r="A16">
            <v>14</v>
          </cell>
          <cell r="B16">
            <v>1.15</v>
          </cell>
        </row>
        <row r="17">
          <cell r="A17">
            <v>15</v>
          </cell>
          <cell r="B17">
            <v>1.1</v>
          </cell>
        </row>
        <row r="18">
          <cell r="A18">
            <v>16</v>
          </cell>
          <cell r="B18">
            <v>1.1</v>
          </cell>
        </row>
        <row r="19">
          <cell r="A19">
            <v>17</v>
          </cell>
          <cell r="B19">
            <v>1.1</v>
          </cell>
        </row>
        <row r="20">
          <cell r="A20">
            <v>18</v>
          </cell>
          <cell r="B20">
            <v>1.1</v>
          </cell>
        </row>
        <row r="21">
          <cell r="A21">
            <v>19</v>
          </cell>
          <cell r="B21">
            <v>1.1</v>
          </cell>
        </row>
        <row r="22">
          <cell r="A22">
            <v>20</v>
          </cell>
          <cell r="B22">
            <v>1</v>
          </cell>
        </row>
        <row r="23">
          <cell r="A23" t="str">
            <v>&gt;20</v>
          </cell>
          <cell r="B2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alyses-veterinaires.fr/" TargetMode="External" /><Relationship Id="rId2" Type="http://schemas.openxmlformats.org/officeDocument/2006/relationships/hyperlink" Target="mailto:secretariat@analyses-veterinaires.f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="90" zoomScaleNormal="90" zoomScalePageLayoutView="0" workbookViewId="0" topLeftCell="A1">
      <selection activeCell="D12" sqref="D12"/>
    </sheetView>
  </sheetViews>
  <sheetFormatPr defaultColWidth="11.421875" defaultRowHeight="12.75"/>
  <cols>
    <col min="1" max="1" width="27.8515625" style="0" customWidth="1"/>
    <col min="2" max="2" width="17.140625" style="8" customWidth="1"/>
    <col min="3" max="3" width="59.8515625" style="0" customWidth="1"/>
    <col min="4" max="4" width="34.421875" style="0" customWidth="1"/>
    <col min="5" max="5" width="8.28125" style="3" customWidth="1"/>
    <col min="6" max="6" width="11.8515625" style="3" customWidth="1"/>
    <col min="7" max="15" width="11.8515625" style="0" hidden="1" customWidth="1"/>
    <col min="16" max="16" width="11.8515625" style="0" customWidth="1"/>
    <col min="17" max="17" width="12.421875" style="0" customWidth="1"/>
  </cols>
  <sheetData>
    <row r="1" spans="1:5" ht="12.75">
      <c r="A1" s="1"/>
      <c r="B1" s="1"/>
      <c r="C1" s="1"/>
      <c r="D1" s="1"/>
      <c r="E1" s="2"/>
    </row>
    <row r="2" spans="1:8" ht="12.75" customHeight="1">
      <c r="A2" s="1"/>
      <c r="B2" s="247" t="s">
        <v>0</v>
      </c>
      <c r="C2" s="247"/>
      <c r="D2" s="165"/>
      <c r="E2" s="165"/>
      <c r="H2" t="s">
        <v>1</v>
      </c>
    </row>
    <row r="3" spans="1:11" ht="12.75" customHeight="1">
      <c r="A3" s="1"/>
      <c r="B3" s="184" t="s">
        <v>210</v>
      </c>
      <c r="C3" s="184"/>
      <c r="D3" s="168"/>
      <c r="E3" s="168"/>
      <c r="H3" s="6" t="s">
        <v>166</v>
      </c>
      <c r="K3" s="150">
        <v>45688</v>
      </c>
    </row>
    <row r="4" spans="1:8" ht="12.75">
      <c r="A4" s="1"/>
      <c r="B4" s="169"/>
      <c r="C4" s="169"/>
      <c r="D4" s="169"/>
      <c r="E4" s="169"/>
      <c r="H4" s="4" t="s">
        <v>246</v>
      </c>
    </row>
    <row r="5" spans="1:8" ht="15.75">
      <c r="A5" s="1"/>
      <c r="B5" s="248" t="s">
        <v>2</v>
      </c>
      <c r="C5" s="248"/>
      <c r="D5" s="170"/>
      <c r="E5" s="170"/>
      <c r="H5" t="s">
        <v>46</v>
      </c>
    </row>
    <row r="6" spans="1:11" ht="15.75">
      <c r="A6" s="1"/>
      <c r="B6" s="249" t="s">
        <v>211</v>
      </c>
      <c r="C6" s="249"/>
      <c r="D6" s="171"/>
      <c r="E6" s="171"/>
      <c r="H6" s="7" t="s">
        <v>167</v>
      </c>
      <c r="K6" s="161"/>
    </row>
    <row r="7" ht="12.75"/>
    <row r="8" spans="1:11" s="6" customFormat="1" ht="15">
      <c r="A8" s="182" t="str">
        <f ca="1">IF(TODAY()&gt;K3,H6,H4)</f>
        <v>Valable du 01/02/24 au 31/01/25  sauf avis contraire (à vérifier régulièrement sur notre site internet)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</row>
    <row r="9" spans="1:11" ht="12.75">
      <c r="A9" s="183" t="str">
        <f ca="1">IF(TODAY()&gt;K3,"",H5)</f>
        <v>Après cette date, téléchargez la version suivante sur notre site (accès libre)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ht="12.75">
      <c r="A10" s="7" t="s">
        <v>53</v>
      </c>
    </row>
    <row r="11" spans="1:5" ht="12.75">
      <c r="A11" t="s">
        <v>188</v>
      </c>
      <c r="E11" s="158"/>
    </row>
    <row r="12" spans="1:16" ht="15.75" customHeight="1">
      <c r="A12" s="25"/>
      <c r="B12" s="24"/>
      <c r="C12" s="25"/>
      <c r="D12" s="25"/>
      <c r="E12" s="26"/>
      <c r="F12" s="26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5.75" customHeight="1">
      <c r="A13" s="25"/>
      <c r="B13" s="24"/>
      <c r="C13" s="25"/>
      <c r="D13" s="25"/>
      <c r="E13" s="26"/>
      <c r="F13" s="26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5.75" customHeight="1">
      <c r="A14" s="25"/>
      <c r="B14" s="24"/>
      <c r="C14" s="25"/>
      <c r="D14" s="25"/>
      <c r="E14" s="26"/>
      <c r="F14" s="26" t="s">
        <v>247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5.75" customHeight="1" thickBot="1">
      <c r="A15" s="25"/>
      <c r="B15" s="24"/>
      <c r="C15" s="25"/>
      <c r="D15" s="25"/>
      <c r="E15" s="26"/>
      <c r="F15" s="26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5.75" customHeight="1" thickBot="1" thickTop="1">
      <c r="A16" s="25"/>
      <c r="B16" s="24"/>
      <c r="C16" s="25"/>
      <c r="D16" s="25"/>
      <c r="E16" s="26"/>
      <c r="F16" s="26"/>
      <c r="G16" s="25"/>
      <c r="H16" s="25" t="s">
        <v>3</v>
      </c>
      <c r="I16" s="24" t="s">
        <v>4</v>
      </c>
      <c r="J16" s="25"/>
      <c r="K16" s="180" t="s">
        <v>5</v>
      </c>
      <c r="L16" s="181"/>
      <c r="M16" s="25"/>
      <c r="N16" s="180" t="s">
        <v>6</v>
      </c>
      <c r="O16" s="181"/>
      <c r="P16" s="25"/>
    </row>
    <row r="17" spans="1:16" ht="14.25" thickBot="1" thickTop="1">
      <c r="A17" s="24" t="s">
        <v>7</v>
      </c>
      <c r="B17" s="27" t="s">
        <v>8</v>
      </c>
      <c r="C17" s="9" t="s">
        <v>9</v>
      </c>
      <c r="D17" s="5" t="s">
        <v>10</v>
      </c>
      <c r="E17" s="10" t="s">
        <v>11</v>
      </c>
      <c r="F17" s="10" t="s">
        <v>12</v>
      </c>
      <c r="H17" s="5" t="s">
        <v>13</v>
      </c>
      <c r="I17" s="11" t="s">
        <v>14</v>
      </c>
      <c r="K17" s="12" t="s">
        <v>15</v>
      </c>
      <c r="L17" s="13" t="s">
        <v>16</v>
      </c>
      <c r="N17" s="12" t="s">
        <v>17</v>
      </c>
      <c r="O17" s="14" t="s">
        <v>18</v>
      </c>
      <c r="P17" s="25"/>
    </row>
    <row r="18" spans="1:16" ht="12.75">
      <c r="A18" s="25"/>
      <c r="B18" s="28"/>
      <c r="C18" s="8" t="s">
        <v>19</v>
      </c>
      <c r="I18" s="15" t="s">
        <v>20</v>
      </c>
      <c r="K18" s="34">
        <v>1</v>
      </c>
      <c r="L18" s="35">
        <v>2.5</v>
      </c>
      <c r="N18" s="40">
        <v>1</v>
      </c>
      <c r="O18" s="41">
        <v>0</v>
      </c>
      <c r="P18" s="25"/>
    </row>
    <row r="19" spans="1:16" ht="12.75">
      <c r="A19" s="25"/>
      <c r="B19" s="28"/>
      <c r="I19" s="16" t="s">
        <v>21</v>
      </c>
      <c r="K19" s="36">
        <v>2</v>
      </c>
      <c r="L19" s="37">
        <v>2</v>
      </c>
      <c r="N19" s="40">
        <v>2</v>
      </c>
      <c r="O19" s="41">
        <v>0.03</v>
      </c>
      <c r="P19" s="25"/>
    </row>
    <row r="20" spans="1:16" ht="15">
      <c r="A20" s="25"/>
      <c r="B20" s="28"/>
      <c r="C20" s="250" t="s">
        <v>22</v>
      </c>
      <c r="K20" s="36">
        <v>3</v>
      </c>
      <c r="L20" s="37">
        <v>1.5</v>
      </c>
      <c r="N20" s="42">
        <v>3</v>
      </c>
      <c r="O20" s="43">
        <v>0.07</v>
      </c>
      <c r="P20" s="25"/>
    </row>
    <row r="21" spans="1:16" ht="13.5" customHeight="1">
      <c r="A21" s="25"/>
      <c r="B21" s="29"/>
      <c r="C21" s="7" t="s">
        <v>23</v>
      </c>
      <c r="D21" s="7">
        <f>IF(B21=0,"","BAAR")</f>
      </c>
      <c r="E21" s="3">
        <f>IF(B21=0,"",17.25*(1-I21))</f>
      </c>
      <c r="F21" s="3">
        <f>IF(B21=0,"",B21*E21)</f>
      </c>
      <c r="I21" s="15">
        <f>IF(B21=0,"",IF(B21&gt;5,0.15,VLOOKUP(B21,POURCENTAGE,2)))</f>
      </c>
      <c r="K21" s="36">
        <v>4</v>
      </c>
      <c r="L21" s="37">
        <v>1.5</v>
      </c>
      <c r="N21" s="42">
        <v>4</v>
      </c>
      <c r="O21" s="43">
        <v>0.12</v>
      </c>
      <c r="P21" s="25"/>
    </row>
    <row r="22" spans="1:16" ht="13.5" customHeight="1" thickBot="1">
      <c r="A22" s="25"/>
      <c r="B22" s="29"/>
      <c r="C22" s="32" t="s">
        <v>199</v>
      </c>
      <c r="D22" s="33">
        <f>IF(B22=0,"","SERO PARATUBERCULOSE")</f>
      </c>
      <c r="E22" s="3">
        <f>IF(B22=0,"",6.75*I22)</f>
      </c>
      <c r="F22" s="3">
        <f>IF(B22=0,"",B22*E22)</f>
      </c>
      <c r="I22" s="159">
        <f>IF(B22=0,"",IF(B22&gt;20,1,VLOOKUP(B22,REDUCTIONS,2)))</f>
      </c>
      <c r="K22" s="36">
        <v>5</v>
      </c>
      <c r="L22" s="37">
        <v>1.25</v>
      </c>
      <c r="N22" s="44">
        <v>5</v>
      </c>
      <c r="O22" s="45">
        <v>0.15</v>
      </c>
      <c r="P22" s="25"/>
    </row>
    <row r="23" spans="1:16" ht="13.5" customHeight="1" thickTop="1">
      <c r="A23" s="25"/>
      <c r="B23" s="29"/>
      <c r="C23" s="32" t="s">
        <v>243</v>
      </c>
      <c r="D23" s="8">
        <f>IF(OR(B23&gt;=80,B23=0),"","ERREUR DE LIGNE")</f>
      </c>
      <c r="E23" s="3">
        <f>IF(B23=0,"",IF(B23&lt;80,"faux",5))</f>
      </c>
      <c r="F23" s="3">
        <f>IF(B23=0,"",B23*E23)</f>
      </c>
      <c r="K23" s="36">
        <v>6</v>
      </c>
      <c r="L23" s="37">
        <v>1.25</v>
      </c>
      <c r="P23" s="25"/>
    </row>
    <row r="24" spans="1:16" ht="13.5" customHeight="1">
      <c r="A24" s="25"/>
      <c r="B24" s="29"/>
      <c r="C24" s="7" t="s">
        <v>145</v>
      </c>
      <c r="E24" s="3">
        <f>IF(B24=0,"",39.75*(1-I24))</f>
      </c>
      <c r="F24" s="3">
        <f>IF(B24=0,"",B24*E24)</f>
      </c>
      <c r="I24" s="15">
        <f>IF(B24=0,"",IF(B24&gt;5,0.15,VLOOKUP(B24,POURCENTAGE,2)))</f>
      </c>
      <c r="K24" s="36">
        <v>7</v>
      </c>
      <c r="L24" s="37">
        <v>1.25</v>
      </c>
      <c r="P24" s="25"/>
    </row>
    <row r="25" spans="1:16" ht="15">
      <c r="A25" s="25"/>
      <c r="B25" s="30"/>
      <c r="C25" s="250" t="s">
        <v>24</v>
      </c>
      <c r="K25" s="36">
        <v>8</v>
      </c>
      <c r="L25" s="37">
        <v>1.25</v>
      </c>
      <c r="P25" s="25"/>
    </row>
    <row r="26" spans="1:16" ht="13.5">
      <c r="A26" s="25"/>
      <c r="B26" s="30"/>
      <c r="C26" s="164" t="s">
        <v>25</v>
      </c>
      <c r="K26" s="36">
        <v>9</v>
      </c>
      <c r="L26" s="37">
        <v>1.25</v>
      </c>
      <c r="P26" s="25"/>
    </row>
    <row r="27" spans="1:16" ht="13.5" customHeight="1">
      <c r="A27" s="25"/>
      <c r="B27" s="29"/>
      <c r="C27" s="7" t="s">
        <v>149</v>
      </c>
      <c r="D27" s="7">
        <f>IF(B27=0,"","SERO BVD P8")</f>
      </c>
      <c r="E27" s="3">
        <f>IF(B27=0,"",10.5*I27)</f>
      </c>
      <c r="F27" s="3">
        <f>IF(B27=0,"",B27*E27)</f>
      </c>
      <c r="H27">
        <f>IF(B27=0,"",1)</f>
      </c>
      <c r="I27" s="11">
        <f>IF(B27=0,"",IF(B27&gt;20,1,VLOOKUP(B27,REDUCTIONS,2)))</f>
      </c>
      <c r="K27" s="36">
        <v>10</v>
      </c>
      <c r="L27" s="37">
        <v>1.15</v>
      </c>
      <c r="P27" s="25"/>
    </row>
    <row r="28" spans="1:16" ht="13.5" customHeight="1">
      <c r="A28" s="25"/>
      <c r="B28" s="29"/>
      <c r="C28" s="32" t="s">
        <v>198</v>
      </c>
      <c r="D28" s="7">
        <f>IF(B28=0,"","SERO BVD LAIT")</f>
      </c>
      <c r="E28" s="3">
        <f>IF(B28=0,"",10.5*I28)</f>
      </c>
      <c r="F28" s="3">
        <f>IF(B28=0,"",B28*E28)</f>
      </c>
      <c r="H28">
        <f>IF(B28=0,"",1)</f>
      </c>
      <c r="I28" s="11">
        <f>IF(B28=0,"",IF(B28&gt;20,1,VLOOKUP(B28,REDUCTIONS,2)))</f>
      </c>
      <c r="K28" s="36">
        <v>11</v>
      </c>
      <c r="L28" s="37">
        <v>1.15</v>
      </c>
      <c r="P28" s="25"/>
    </row>
    <row r="29" spans="1:16" ht="13.5">
      <c r="A29" s="25"/>
      <c r="B29" s="28"/>
      <c r="C29" s="164" t="s">
        <v>26</v>
      </c>
      <c r="K29" s="36">
        <v>12</v>
      </c>
      <c r="L29" s="37">
        <v>1.15</v>
      </c>
      <c r="P29" s="25"/>
    </row>
    <row r="30" spans="1:16" ht="13.5" customHeight="1">
      <c r="A30" s="25"/>
      <c r="B30" s="28"/>
      <c r="C30" s="7" t="s">
        <v>200</v>
      </c>
      <c r="D30" s="33"/>
      <c r="I30" s="11">
        <f>IF(B30=0,"",IF(B30&gt;20,1,VLOOKUP(B30,REDUCTIONS,2)))</f>
      </c>
      <c r="K30" s="36">
        <v>13</v>
      </c>
      <c r="L30" s="37">
        <v>1.15</v>
      </c>
      <c r="P30" s="25"/>
    </row>
    <row r="31" spans="1:16" ht="13.5" customHeight="1">
      <c r="A31" s="25"/>
      <c r="B31" s="29"/>
      <c r="C31" s="7" t="s">
        <v>155</v>
      </c>
      <c r="D31" s="33" t="str">
        <f>IF(B31=0,"Compter 1 par mélange","PCR BVD mélange de sangs")</f>
        <v>Compter 1 par mélange</v>
      </c>
      <c r="E31" s="3">
        <f>IF(B31=0,"",39.75*(1-I31))</f>
      </c>
      <c r="F31" s="3">
        <f>IF(B31=0,"",B31*E31)</f>
      </c>
      <c r="H31">
        <f>IF(B31=0,"",1)</f>
      </c>
      <c r="I31" s="15">
        <f>IF(B31=0,"",IF(B31&gt;5,0.15,VLOOKUP(B31,POURCENTAGE,2)))</f>
      </c>
      <c r="K31" s="36">
        <v>14</v>
      </c>
      <c r="L31" s="37">
        <v>1.15</v>
      </c>
      <c r="P31" s="25"/>
    </row>
    <row r="32" spans="1:16" ht="13.5" customHeight="1">
      <c r="A32" s="25"/>
      <c r="B32" s="28"/>
      <c r="C32" s="145" t="s">
        <v>156</v>
      </c>
      <c r="D32" s="33">
        <f>IF(B31=0,"","Frais de mélange")</f>
      </c>
      <c r="E32" s="3">
        <f>IF(B31=0,"",6.9*(1-I32))</f>
      </c>
      <c r="F32" s="3">
        <f>IF(B31=0,"",B31*E32)</f>
      </c>
      <c r="I32" s="15">
        <f>IF(B31=0,"",IF(B31&gt;5,0.15,VLOOKUP(B31,POURCENTAGE,2)))</f>
      </c>
      <c r="K32" s="36">
        <v>15</v>
      </c>
      <c r="L32" s="37">
        <v>1.1</v>
      </c>
      <c r="P32" s="25"/>
    </row>
    <row r="33" spans="1:16" ht="13.5" customHeight="1">
      <c r="A33" s="25"/>
      <c r="B33" s="29"/>
      <c r="C33" s="7" t="s">
        <v>157</v>
      </c>
      <c r="D33" s="7">
        <f>IF(B33=0,"","PCR  BVD - individuel")</f>
      </c>
      <c r="E33" s="3">
        <f>IF(B33=0,"",39.75*(1-I33))</f>
      </c>
      <c r="F33" s="3">
        <f>IF(B33=0,"",B33*E33)</f>
      </c>
      <c r="H33">
        <f>IF(B33=0,"",1)</f>
      </c>
      <c r="I33" s="15">
        <f>IF(B33=0,"",IF(B33&gt;5,0.15,VLOOKUP(B33,POURCENTAGE,2)))</f>
      </c>
      <c r="K33" s="36">
        <v>16</v>
      </c>
      <c r="L33" s="37">
        <v>1.1</v>
      </c>
      <c r="P33" s="25"/>
    </row>
    <row r="34" spans="1:16" ht="13.5" customHeight="1">
      <c r="A34" s="25"/>
      <c r="B34" s="29"/>
      <c r="C34" s="7" t="s">
        <v>50</v>
      </c>
      <c r="D34" s="7">
        <f>IF(B34=0,"","PCR BVD frais de préparation compris")</f>
      </c>
      <c r="E34" s="3">
        <f>IF(B34=0,"",48.3)</f>
      </c>
      <c r="F34" s="3">
        <f>IF(B34=0,"",B34*E34)</f>
      </c>
      <c r="K34" s="36">
        <v>17</v>
      </c>
      <c r="L34" s="37">
        <v>1.1</v>
      </c>
      <c r="P34" s="25"/>
    </row>
    <row r="35" spans="1:16" ht="12.75">
      <c r="A35" s="25"/>
      <c r="B35" s="28"/>
      <c r="C35" s="7"/>
      <c r="D35" s="7"/>
      <c r="F35" s="19"/>
      <c r="I35" s="11">
        <f>IF(B35=0,"",IF(B35&gt;20,1,VLOOKUP(B35,REDUCTIONS,2)))</f>
      </c>
      <c r="K35" s="36">
        <v>18</v>
      </c>
      <c r="L35" s="37">
        <v>1.1</v>
      </c>
      <c r="P35" s="25"/>
    </row>
    <row r="36" spans="1:16" ht="15">
      <c r="A36" s="25"/>
      <c r="B36" s="28"/>
      <c r="C36" s="250" t="s">
        <v>28</v>
      </c>
      <c r="K36" s="36">
        <v>19</v>
      </c>
      <c r="L36" s="37">
        <v>1.1</v>
      </c>
      <c r="P36" s="25"/>
    </row>
    <row r="37" spans="1:16" ht="13.5">
      <c r="A37" s="25"/>
      <c r="B37" s="28"/>
      <c r="C37" s="164" t="s">
        <v>151</v>
      </c>
      <c r="K37" s="36">
        <v>20</v>
      </c>
      <c r="L37" s="37">
        <v>1</v>
      </c>
      <c r="P37" s="25"/>
    </row>
    <row r="38" spans="1:16" ht="13.5" thickBot="1">
      <c r="A38" s="25"/>
      <c r="B38" s="29"/>
      <c r="C38" s="7" t="s">
        <v>168</v>
      </c>
      <c r="D38" s="7">
        <f>IF(B38=0,"","FORFAIT ACTUALISE AVORTS")</f>
      </c>
      <c r="E38" s="3">
        <f>IF(B38=0,"",42.375)</f>
      </c>
      <c r="F38" s="3">
        <f>IF(B38=0,"",B38*E38)</f>
      </c>
      <c r="K38" s="38" t="s">
        <v>27</v>
      </c>
      <c r="L38" s="39">
        <v>1</v>
      </c>
      <c r="P38" s="25"/>
    </row>
    <row r="39" spans="1:16" ht="13.5" thickTop="1">
      <c r="A39" s="25"/>
      <c r="B39" s="29"/>
      <c r="C39" s="7" t="s">
        <v>54</v>
      </c>
      <c r="D39" s="7">
        <f>IF(B39=0,"","FORFAIT CLASSIQUE AVORTS")</f>
      </c>
      <c r="E39" s="3">
        <f>IF(B39=0,"",33.75)</f>
      </c>
      <c r="F39" s="3">
        <f>IF(B39=0,"",B39*E39)</f>
      </c>
      <c r="P39" s="25"/>
    </row>
    <row r="40" spans="1:16" ht="13.5">
      <c r="A40" s="25"/>
      <c r="B40" s="28"/>
      <c r="C40" s="164" t="s">
        <v>47</v>
      </c>
      <c r="P40" s="25"/>
    </row>
    <row r="41" spans="1:16" ht="13.5" customHeight="1">
      <c r="A41" s="25"/>
      <c r="B41" s="29"/>
      <c r="C41" s="7" t="s">
        <v>48</v>
      </c>
      <c r="D41" s="7">
        <f>IF(B41=0,"","SERO CHLAMYDIOPHILOSE")</f>
      </c>
      <c r="E41" s="3">
        <f>IF(B41=0,"",11.25*I41)</f>
      </c>
      <c r="F41" s="3">
        <f aca="true" t="shared" si="0" ref="F41:F46">IF(B41=0,"",B41*E41)</f>
      </c>
      <c r="H41">
        <f aca="true" t="shared" si="1" ref="H41:H46">IF(B41=0,"",1)</f>
      </c>
      <c r="I41" s="11">
        <f aca="true" t="shared" si="2" ref="I41:I46">IF(B41=0,"",IF(B41&gt;20,1,VLOOKUP(B41,REDUCTIONS,2)))</f>
      </c>
      <c r="P41" s="25"/>
    </row>
    <row r="42" spans="1:16" ht="13.5" customHeight="1">
      <c r="A42" s="25"/>
      <c r="B42" s="29"/>
      <c r="C42" s="32" t="s">
        <v>196</v>
      </c>
      <c r="D42" s="7">
        <f>IF(B42=0,"","SEROLOGIE COXIELLOSE")</f>
      </c>
      <c r="E42" s="3">
        <f>IF(B42=0,"",10.5*I42)</f>
      </c>
      <c r="F42" s="3">
        <f t="shared" si="0"/>
      </c>
      <c r="H42">
        <f t="shared" si="1"/>
      </c>
      <c r="I42" s="11">
        <f t="shared" si="2"/>
      </c>
      <c r="P42" s="25"/>
    </row>
    <row r="43" spans="1:16" ht="13.5" customHeight="1">
      <c r="A43" s="25"/>
      <c r="B43" s="29"/>
      <c r="C43" s="32" t="s">
        <v>194</v>
      </c>
      <c r="D43" s="7">
        <f>IF(B43=0,"","SEROLOGIE COXIELLOSE")</f>
      </c>
      <c r="E43" s="3">
        <f>IF(B43=0,"",10.5*I43)</f>
      </c>
      <c r="F43" s="3">
        <f>IF(B43=0,"",B43*E43)</f>
      </c>
      <c r="H43">
        <f>IF(B43=0,"",1)</f>
      </c>
      <c r="I43" s="11">
        <f>IF(B43=0,"",IF(B43&gt;20,1,VLOOKUP(B43,REDUCTIONS,2)))</f>
      </c>
      <c r="P43" s="25"/>
    </row>
    <row r="44" spans="1:16" ht="13.5" customHeight="1">
      <c r="A44" s="25"/>
      <c r="B44" s="29"/>
      <c r="C44" s="32" t="s">
        <v>195</v>
      </c>
      <c r="D44" s="4" t="str">
        <f>IF(B44=0," Dépistage sur lait de tank","SEROLOGIE NEOSPOROSE")</f>
        <v> Dépistage sur lait de tank</v>
      </c>
      <c r="E44" s="3">
        <f>IF(B44=0,"",10.5*I44)</f>
      </c>
      <c r="F44" s="3">
        <f t="shared" si="0"/>
      </c>
      <c r="H44">
        <f t="shared" si="1"/>
      </c>
      <c r="I44" s="11">
        <f t="shared" si="2"/>
      </c>
      <c r="P44" s="25"/>
    </row>
    <row r="45" spans="1:16" ht="13.5" customHeight="1">
      <c r="A45" s="25"/>
      <c r="B45" s="29"/>
      <c r="C45" s="32" t="s">
        <v>244</v>
      </c>
      <c r="D45" s="8">
        <f>IF(OR(B45&gt;=45,B45=0),"","ERREUR DE LIGNE")</f>
      </c>
      <c r="E45" s="3">
        <f>IF(B45=0,"",IF(B45&lt;45,"faux",7))</f>
      </c>
      <c r="F45" s="3">
        <f>IF(B45=0,"",B45*E45)</f>
      </c>
      <c r="P45" s="25"/>
    </row>
    <row r="46" spans="1:16" ht="13.5" customHeight="1">
      <c r="A46" s="25"/>
      <c r="B46" s="29"/>
      <c r="C46" s="32" t="s">
        <v>197</v>
      </c>
      <c r="D46" s="7">
        <f>IF(B46=0,"","SEROLOGIE BHV4")</f>
      </c>
      <c r="E46" s="3">
        <f>IF(B46=0,"",11.25*I46)</f>
      </c>
      <c r="F46" s="3">
        <f t="shared" si="0"/>
      </c>
      <c r="H46">
        <f t="shared" si="1"/>
      </c>
      <c r="I46" s="11">
        <f t="shared" si="2"/>
      </c>
      <c r="P46" s="25"/>
    </row>
    <row r="47" spans="1:16" ht="13.5">
      <c r="A47" s="25"/>
      <c r="B47" s="28"/>
      <c r="C47" s="164" t="s">
        <v>152</v>
      </c>
      <c r="P47" s="25"/>
    </row>
    <row r="48" spans="1:16" ht="13.5" customHeight="1">
      <c r="A48" s="25"/>
      <c r="B48" s="29"/>
      <c r="C48" s="7" t="s">
        <v>29</v>
      </c>
      <c r="D48" s="7">
        <f>IF(B48=0,"","PCR FIEVRE Q")</f>
      </c>
      <c r="E48" s="3">
        <f>IF(B48=0,"",39.75*(1-I48))</f>
      </c>
      <c r="F48" s="3">
        <f aca="true" t="shared" si="3" ref="F48:F53">IF(B48=0,"",B48*E48)</f>
      </c>
      <c r="H48">
        <f>IF(B48=0,"",1)</f>
      </c>
      <c r="I48" s="15">
        <f>IF(B48=0,"",IF(B48&gt;5,0.15,VLOOKUP(B48,POURCENTAGE,2)))</f>
      </c>
      <c r="P48" s="25"/>
    </row>
    <row r="49" spans="1:16" ht="13.5" customHeight="1">
      <c r="A49" s="25"/>
      <c r="B49" s="29"/>
      <c r="C49" s="7" t="s">
        <v>30</v>
      </c>
      <c r="D49" s="7">
        <f>IF(B49=0,"","PCR CHLAMYDIOSE")</f>
      </c>
      <c r="E49" s="3">
        <f>IF(B49=0,"",39.75)</f>
      </c>
      <c r="F49" s="3">
        <f t="shared" si="3"/>
      </c>
      <c r="P49" s="25"/>
    </row>
    <row r="50" spans="1:16" ht="13.5" customHeight="1">
      <c r="A50" s="25"/>
      <c r="B50" s="29"/>
      <c r="C50" s="7" t="s">
        <v>158</v>
      </c>
      <c r="D50" s="7">
        <f>IF(B50=0,"","PCR NEOSPOROSE")</f>
      </c>
      <c r="E50" s="3">
        <f>IF(B50=0,"",39.75)</f>
      </c>
      <c r="F50" s="3">
        <f t="shared" si="3"/>
      </c>
      <c r="P50" s="25"/>
    </row>
    <row r="51" spans="1:16" ht="13.5" customHeight="1">
      <c r="A51" s="25"/>
      <c r="B51" s="29"/>
      <c r="C51" s="18" t="s">
        <v>31</v>
      </c>
      <c r="D51" s="7">
        <f>IF(B51=0,"","PCR TOXOPLASMOSE")</f>
      </c>
      <c r="E51" s="3">
        <f>IF(B51=0,"",39.75)</f>
      </c>
      <c r="F51" s="3">
        <f t="shared" si="3"/>
      </c>
      <c r="P51" s="25"/>
    </row>
    <row r="52" spans="1:16" ht="42" customHeight="1">
      <c r="A52" s="25"/>
      <c r="B52" s="141"/>
      <c r="C52" s="140" t="s">
        <v>201</v>
      </c>
      <c r="D52" s="162" t="str">
        <f>IF(B52=0,"PCR Multiplex","PCR MULTIPLEX AVORTEMENT 8P")</f>
        <v>PCR Multiplex</v>
      </c>
      <c r="E52" s="142">
        <f>IF(B52=0,"",108.75*(1-I52))</f>
      </c>
      <c r="F52" s="142">
        <f t="shared" si="3"/>
      </c>
      <c r="G52" s="143"/>
      <c r="I52" s="15">
        <f>IF(B52=0,"",IF(B52&gt;5,0.15,VLOOKUP(B52,POURCENTAGE,2)))</f>
      </c>
      <c r="P52" s="25"/>
    </row>
    <row r="53" spans="1:16" ht="27" customHeight="1">
      <c r="A53" s="25"/>
      <c r="B53" s="141"/>
      <c r="C53" s="146" t="s">
        <v>169</v>
      </c>
      <c r="D53" s="139">
        <f>IF(B53=0,"","PCR 1 paramètre abortif")</f>
      </c>
      <c r="E53" s="3">
        <f>IF(B53=0,"",39.75)</f>
      </c>
      <c r="F53" s="3">
        <f t="shared" si="3"/>
      </c>
      <c r="G53" s="143"/>
      <c r="P53" s="25"/>
    </row>
    <row r="54" spans="1:16" ht="12.75">
      <c r="A54" s="25"/>
      <c r="B54" s="28"/>
      <c r="P54" s="25"/>
    </row>
    <row r="55" spans="1:16" ht="15">
      <c r="A55" s="25"/>
      <c r="B55" s="28"/>
      <c r="C55" s="251" t="s">
        <v>153</v>
      </c>
      <c r="P55" s="25"/>
    </row>
    <row r="56" spans="1:16" ht="13.5">
      <c r="A56" s="25"/>
      <c r="B56" s="28"/>
      <c r="C56" s="164" t="s">
        <v>143</v>
      </c>
      <c r="P56" s="25"/>
    </row>
    <row r="57" spans="1:16" ht="13.5" customHeight="1">
      <c r="A57" s="25"/>
      <c r="B57" s="29"/>
      <c r="C57" s="7" t="s">
        <v>150</v>
      </c>
      <c r="D57" s="7">
        <f>IF(B57=0,"","SEROLOGIE IBR Ac totaux")</f>
      </c>
      <c r="E57" s="3">
        <f>IF(B57=0,"",10.5*I57)</f>
      </c>
      <c r="F57" s="3">
        <f>IF(B57=0,"",B57*E57)</f>
      </c>
      <c r="H57">
        <f>IF(B57=0,"",1)</f>
      </c>
      <c r="I57" s="11">
        <f>IF(B57=0,"",IF(B57&gt;20,1,VLOOKUP(B57,REDUCTIONS,2)))</f>
      </c>
      <c r="P57" s="25"/>
    </row>
    <row r="58" spans="1:16" ht="13.5" customHeight="1">
      <c r="A58" s="25"/>
      <c r="B58" s="160"/>
      <c r="C58" t="s">
        <v>33</v>
      </c>
      <c r="D58" s="7">
        <f>IF(B58=0,"","SEROLOGIE MYCOPLASMA bovis")</f>
      </c>
      <c r="E58" s="3">
        <f>IF(B58=0,"",11.25*I58)</f>
      </c>
      <c r="F58" s="3">
        <f>IF(B58=0,"",B58*E58)</f>
      </c>
      <c r="H58">
        <f>IF(B58=0,"",1)</f>
      </c>
      <c r="I58" s="11">
        <f>IF(B58=0,"",IF(B58&gt;20,1,VLOOKUP(B58,REDUCTIONS,2)))</f>
      </c>
      <c r="P58" s="25"/>
    </row>
    <row r="59" spans="1:16" ht="7.5" customHeight="1">
      <c r="A59" s="25"/>
      <c r="B59" s="28"/>
      <c r="C59" s="7"/>
      <c r="D59" s="7"/>
      <c r="H59">
        <f>IF(B59=0,"",1)</f>
      </c>
      <c r="I59" s="15">
        <f>IF(B59=0,"",IF(J60&gt;5,0.15,VLOOKUP(J60,POURCENTAGE,2)))</f>
      </c>
      <c r="J59" t="s">
        <v>32</v>
      </c>
      <c r="P59" s="25"/>
    </row>
    <row r="60" spans="1:16" ht="6.75" customHeight="1">
      <c r="A60" s="25"/>
      <c r="B60" s="28"/>
      <c r="C60" s="7"/>
      <c r="D60" s="7">
        <f>IF(B60=0,"","SERO IBR Ac gB mélange")</f>
      </c>
      <c r="E60" s="3">
        <f>IF(B60=0,"",13.4*(1-I60))</f>
      </c>
      <c r="F60" s="3">
        <f>IF(B60=0,"",J61*E60)</f>
      </c>
      <c r="H60">
        <f>IF(B60=0,"",1)</f>
      </c>
      <c r="I60" s="15">
        <f>IF(B60=0,"",IF(J61&gt;5,0.15,VLOOKUP(J61,POURCENTAGE,2)))</f>
      </c>
      <c r="J60">
        <f>ROUNDUP(B59/10,0)</f>
        <v>0</v>
      </c>
      <c r="P60" s="25"/>
    </row>
    <row r="61" spans="1:16" ht="13.5" customHeight="1">
      <c r="A61" s="25"/>
      <c r="B61" s="28"/>
      <c r="C61" s="136" t="s">
        <v>144</v>
      </c>
      <c r="J61">
        <f>ROUNDUP(B60/10,0)</f>
        <v>0</v>
      </c>
      <c r="P61" s="25"/>
    </row>
    <row r="62" spans="1:16" ht="13.5" customHeight="1">
      <c r="A62" s="25"/>
      <c r="B62" s="29"/>
      <c r="C62" s="32" t="s">
        <v>197</v>
      </c>
      <c r="D62" s="7">
        <f>IF(B62=0,"","SEROLOGIE BHV4")</f>
      </c>
      <c r="E62" s="3">
        <f>IF(B62=0,"",11.5*I62)</f>
      </c>
      <c r="F62" s="3">
        <f>IF(B62=0,"",B62*E62)</f>
      </c>
      <c r="H62">
        <f>IF(B62=0,"",1)</f>
      </c>
      <c r="I62" s="11">
        <f>IF(B62=0,"",IF(B62&gt;20,1,VLOOKUP(B62,REDUCTIONS,2)))</f>
      </c>
      <c r="P62" s="25"/>
    </row>
    <row r="63" spans="1:16" ht="13.5">
      <c r="A63" s="25"/>
      <c r="B63" s="28"/>
      <c r="C63" s="164" t="s">
        <v>142</v>
      </c>
      <c r="P63" s="25"/>
    </row>
    <row r="64" spans="1:16" ht="15.75" customHeight="1">
      <c r="A64" s="25"/>
      <c r="B64" s="29"/>
      <c r="C64" s="32" t="s">
        <v>172</v>
      </c>
      <c r="D64" s="7">
        <f>IF(B64=0,"","HEXAVALENT RESPIRATOIRE Ac")</f>
      </c>
      <c r="E64" s="3">
        <f>IF(B64=0,"",37.5*(1-I64))</f>
      </c>
      <c r="F64" s="3">
        <f>IF(B64=0,"",B64*E64)</f>
      </c>
      <c r="H64">
        <f>IF(B64=0,"",1)</f>
      </c>
      <c r="I64" s="15">
        <f>IF(B64=0,"",IF(B64&gt;5,0.15,VLOOKUP(B64,POURCENTAGE,2)))</f>
      </c>
      <c r="P64" s="25"/>
    </row>
    <row r="65" spans="1:16" ht="12.75" hidden="1">
      <c r="A65" s="25"/>
      <c r="B65" s="29"/>
      <c r="C65" s="32" t="s">
        <v>171</v>
      </c>
      <c r="D65" s="7">
        <f>IF(B65=0,"","PENTAVALENT RESPIRATOIRE Ac")</f>
      </c>
      <c r="E65" s="3">
        <f>IF(B65=0,"",31.5*(1-I65))</f>
      </c>
      <c r="F65" s="3">
        <f>IF(B65=0,"",B65*E65)</f>
      </c>
      <c r="H65">
        <f>IF(B65=0,"",1)</f>
      </c>
      <c r="I65" s="15">
        <f>IF(B65=0,"",IF(B65&gt;5,0.15,VLOOKUP(B65,POURCENTAGE,2)))</f>
      </c>
      <c r="P65" s="25"/>
    </row>
    <row r="66" spans="1:16" ht="12.75" hidden="1">
      <c r="A66" s="25"/>
      <c r="B66" s="29"/>
      <c r="C66" s="32" t="s">
        <v>174</v>
      </c>
      <c r="D66" s="7">
        <f>IF(B66=0,"","TETRAVALENT RESPIRATOIRE Ac")</f>
      </c>
      <c r="E66" s="3">
        <f>IF(B66=0,"",27.375*(1-I66))</f>
      </c>
      <c r="F66" s="3">
        <f>IF(B66=0,"",B66*E66)</f>
      </c>
      <c r="H66">
        <f>IF(B66=0,"",1)</f>
      </c>
      <c r="I66" s="15">
        <f>IF(B66=0,"",IF(B66&gt;5,0.15,VLOOKUP(B66,POURCENTAGE,2)))</f>
      </c>
      <c r="P66" s="25"/>
    </row>
    <row r="67" spans="1:16" ht="1.5" customHeight="1">
      <c r="A67" s="25"/>
      <c r="B67" s="29"/>
      <c r="C67" s="32" t="s">
        <v>173</v>
      </c>
      <c r="D67" s="7">
        <f>IF(B67=0,"","TRIVALENT RESPIRATOIRE Ac")</f>
      </c>
      <c r="E67" s="3">
        <f>IF(B67=0,"",22.5*(1-I67))</f>
      </c>
      <c r="F67" s="3">
        <f>IF(B67=0,"",B67*E67)</f>
      </c>
      <c r="H67">
        <f>IF(B67=0,"",1)</f>
      </c>
      <c r="I67" s="15">
        <f>IF(B67=0,"",IF(B67&gt;5,0.15,VLOOKUP(B67,POURCENTAGE,2)))</f>
      </c>
      <c r="P67" s="25"/>
    </row>
    <row r="68" spans="1:16" ht="13.5">
      <c r="A68" s="25"/>
      <c r="B68" s="28"/>
      <c r="C68" s="164" t="s">
        <v>179</v>
      </c>
      <c r="P68" s="25"/>
    </row>
    <row r="69" spans="1:16" ht="42" customHeight="1">
      <c r="A69" s="25"/>
      <c r="B69" s="29"/>
      <c r="C69" s="140" t="s">
        <v>159</v>
      </c>
      <c r="D69" s="162" t="str">
        <f>IF(B69=0,"PCR multiplex","PCR MULTIPLEX RESPI 7 patho")</f>
        <v>PCR multiplex</v>
      </c>
      <c r="E69" s="142">
        <f>IF(B69=0,"",108.75*(1-I69))</f>
      </c>
      <c r="F69" s="142">
        <f>IF(B69=0,"",B69*E69)</f>
      </c>
      <c r="G69" s="143"/>
      <c r="H69" s="143"/>
      <c r="I69" s="144">
        <f>IF(B69=0,"",IF(B69&gt;5,0.15,VLOOKUP(B69,POURCENTAGE,2)))</f>
      </c>
      <c r="P69" s="25"/>
    </row>
    <row r="70" spans="1:16" ht="27" customHeight="1">
      <c r="A70" s="25"/>
      <c r="B70" s="29"/>
      <c r="C70" s="146" t="s">
        <v>175</v>
      </c>
      <c r="D70" s="139">
        <f>IF(B70=0,"","PCR 1 paramètre resipratoire")</f>
      </c>
      <c r="E70" s="3">
        <f>IF(B70=0,"",39.75)</f>
      </c>
      <c r="F70" s="3">
        <f>IF(B70=0,"",B70*E70)</f>
      </c>
      <c r="G70" s="143"/>
      <c r="P70" s="25"/>
    </row>
    <row r="71" spans="1:16" ht="12.75">
      <c r="A71" s="25"/>
      <c r="B71" s="28"/>
      <c r="C71" s="140"/>
      <c r="D71" s="139"/>
      <c r="E71" s="142"/>
      <c r="F71" s="142"/>
      <c r="G71" s="143"/>
      <c r="H71" s="143"/>
      <c r="P71" s="25"/>
    </row>
    <row r="72" spans="1:16" ht="15">
      <c r="A72" s="25"/>
      <c r="B72" s="28"/>
      <c r="C72" s="251" t="s">
        <v>34</v>
      </c>
      <c r="P72" s="25"/>
    </row>
    <row r="73" spans="1:16" ht="13.5">
      <c r="A73" s="25"/>
      <c r="B73" s="28"/>
      <c r="C73" s="164" t="s">
        <v>25</v>
      </c>
      <c r="P73" s="25"/>
    </row>
    <row r="74" spans="1:16" ht="14.25" customHeight="1">
      <c r="A74" s="25"/>
      <c r="B74" s="29"/>
      <c r="C74" s="7" t="s">
        <v>35</v>
      </c>
      <c r="D74" s="7">
        <f>IF(B74=0,"","SEROLOGIE FASCIOLOSE")</f>
      </c>
      <c r="E74" s="3">
        <f>IF(B74=0,"",10.5*I74)</f>
      </c>
      <c r="F74" s="3">
        <f>IF(B74=0,"",B74*E74)</f>
      </c>
      <c r="H74">
        <f>IF(B74=0,"",1)</f>
      </c>
      <c r="I74" s="11">
        <f>IF(B74=0,"",IF(B74&gt;20,1,VLOOKUP(B74,REDUCTIONS,2)))</f>
      </c>
      <c r="P74" s="25"/>
    </row>
    <row r="75" spans="1:16" ht="14.25" customHeight="1">
      <c r="A75" s="25"/>
      <c r="B75" s="29"/>
      <c r="C75" s="32" t="s">
        <v>192</v>
      </c>
      <c r="D75" s="7">
        <f>IF(B75=0,"","FASCIOLOSE mélange - dont frais de mél.")</f>
      </c>
      <c r="E75" s="147">
        <f>IF(B75=0,"",26.25*(1-I75))</f>
      </c>
      <c r="F75" s="3">
        <f>IF(B75=0,"",J76*E75+6.67*J76)</f>
      </c>
      <c r="H75">
        <f>IF(B75=0,"",1)</f>
      </c>
      <c r="I75" s="15">
        <f>IF(B75=0,"",IF(J76&gt;5,0.15,VLOOKUP(J76,POURCENTAGE,2)))</f>
      </c>
      <c r="J75" t="s">
        <v>32</v>
      </c>
      <c r="P75" s="25"/>
    </row>
    <row r="76" spans="1:16" ht="14.25" customHeight="1">
      <c r="A76" s="25"/>
      <c r="B76" s="29"/>
      <c r="C76" s="32" t="s">
        <v>181</v>
      </c>
      <c r="D76" s="7">
        <f>IF(B76=0,"","SERO FASCIOLOSE sur lait")</f>
      </c>
      <c r="E76" s="3">
        <f>IF(B76=0,"",10.5*I76)</f>
      </c>
      <c r="F76" s="3">
        <f>IF(B76=0,"",B76*E76)</f>
      </c>
      <c r="H76">
        <f>IF(B76=0,"",1)</f>
      </c>
      <c r="I76" s="11">
        <f>IF(B76=0,"",IF(B76&gt;20,1,VLOOKUP(B76,REDUCTIONS,2)))</f>
      </c>
      <c r="J76">
        <f>ROUNDUP(B75/5,0)</f>
        <v>0</v>
      </c>
      <c r="P76" s="25"/>
    </row>
    <row r="77" spans="1:16" ht="13.5">
      <c r="A77" s="25"/>
      <c r="B77" s="28"/>
      <c r="C77" s="164" t="s">
        <v>36</v>
      </c>
      <c r="P77" s="25"/>
    </row>
    <row r="78" spans="1:16" ht="13.5" customHeight="1">
      <c r="A78" s="25"/>
      <c r="B78" s="29"/>
      <c r="C78" s="7" t="s">
        <v>37</v>
      </c>
      <c r="D78" s="7">
        <f>IF(B78=0,"","COPRO PARASITAIRE")</f>
      </c>
      <c r="E78" s="3">
        <f>IF(B78=0,"",23.625*J78)</f>
      </c>
      <c r="F78" s="3">
        <f>IF(B78=0,"",B78*E78)</f>
      </c>
      <c r="I78" s="16"/>
      <c r="J78">
        <f>IF(B78&lt;3,1,0.93)</f>
        <v>1</v>
      </c>
      <c r="P78" s="25"/>
    </row>
    <row r="79" spans="1:16" ht="12.75">
      <c r="A79" s="25"/>
      <c r="B79" s="28"/>
      <c r="D79" s="7"/>
      <c r="P79" s="25"/>
    </row>
    <row r="80" spans="1:16" ht="15">
      <c r="A80" s="25"/>
      <c r="B80" s="28"/>
      <c r="C80" s="251" t="s">
        <v>51</v>
      </c>
      <c r="D80" s="7"/>
      <c r="P80" s="25"/>
    </row>
    <row r="81" spans="1:16" ht="13.5" customHeight="1">
      <c r="A81" s="25"/>
      <c r="B81" s="29"/>
      <c r="C81" s="32" t="s">
        <v>182</v>
      </c>
      <c r="D81" s="7">
        <f>IF(B81=0,"","SERO OSTERTAGIOSE sur lait")</f>
      </c>
      <c r="E81" s="3">
        <f>IF(B81=0,"",18.75)</f>
      </c>
      <c r="F81" s="3">
        <f>IF(B81=0,"",B81*E81)</f>
      </c>
      <c r="H81">
        <f>IF(B81=0,"",1)</f>
      </c>
      <c r="I81" s="11">
        <f>IF(B81=0,"",IF(B81&gt;20,1,VLOOKUP(B81,REDUCTIONS,2)))</f>
      </c>
      <c r="P81" s="25"/>
    </row>
    <row r="82" spans="1:16" ht="13.5" customHeight="1">
      <c r="A82" s="25"/>
      <c r="B82" s="29"/>
      <c r="C82" s="7" t="s">
        <v>52</v>
      </c>
      <c r="D82" s="7">
        <f>IF(B82=0,"","Tarif sur demande au labo")</f>
      </c>
      <c r="H82">
        <f>IF(B82=0,"",1)</f>
      </c>
      <c r="I82" s="11">
        <f>IF(B82=0,"",IF(B82&gt;20,1,VLOOKUP(B82,REDUCTIONS,2)))</f>
      </c>
      <c r="P82" s="25"/>
    </row>
    <row r="83" spans="1:16" ht="12.75">
      <c r="A83" s="25"/>
      <c r="B83" s="28"/>
      <c r="C83" s="31" t="s">
        <v>160</v>
      </c>
      <c r="D83" s="18" t="s">
        <v>161</v>
      </c>
      <c r="P83" s="25"/>
    </row>
    <row r="84" spans="1:16" ht="13.5" customHeight="1">
      <c r="A84" s="25"/>
      <c r="B84" s="29"/>
      <c r="C84" s="7" t="s">
        <v>49</v>
      </c>
      <c r="D84" s="7"/>
      <c r="E84" s="3">
        <f>IF(B84=0,"",8.25*I84)</f>
      </c>
      <c r="F84" s="3">
        <f>IF(B84=0,"",B84*E84)</f>
      </c>
      <c r="I84" s="11">
        <f>IF(B84=0,"",IF(B84&gt;20,1,VLOOKUP(B84,REDUCTIONS,2)))</f>
      </c>
      <c r="P84" s="25"/>
    </row>
    <row r="85" spans="1:16" ht="12.75">
      <c r="A85" s="25"/>
      <c r="B85" s="28"/>
      <c r="C85" s="7"/>
      <c r="D85" s="33"/>
      <c r="E85" s="3">
        <f>IF(B85=0,"",7.25*I85)</f>
      </c>
      <c r="F85" s="3">
        <f>IF(B85=0,"",B85*E85)</f>
      </c>
      <c r="I85" s="11">
        <f>IF(B85=0,"",IF(B85&gt;20,1,VLOOKUP(B85,REDUCTIONS,2)))</f>
      </c>
      <c r="P85" s="25"/>
    </row>
    <row r="86" spans="1:16" ht="12.75">
      <c r="A86" s="25"/>
      <c r="B86" s="28"/>
      <c r="I86" s="15">
        <f>IF(B86=0,"",IF(B86&gt;5,0.15,VLOOKUP(B86,POURCENTAGE,2)))</f>
      </c>
      <c r="P86" s="25"/>
    </row>
    <row r="87" spans="1:16" ht="12.75">
      <c r="A87" s="25"/>
      <c r="B87" s="28"/>
      <c r="C87" s="167" t="s">
        <v>209</v>
      </c>
      <c r="D87" s="8" t="s">
        <v>38</v>
      </c>
      <c r="F87" s="19">
        <f>IF(H87=0,"",IF(H87&gt;5,-0.15*H88,-H88*VLOOKUP(H87,POURCENTAGE,2)))</f>
      </c>
      <c r="H87">
        <f>SUM(H18:H86)</f>
        <v>0</v>
      </c>
      <c r="P87" s="25"/>
    </row>
    <row r="88" spans="1:16" ht="12.75">
      <c r="A88" s="25"/>
      <c r="B88" s="28"/>
      <c r="D88" s="20" t="s">
        <v>237</v>
      </c>
      <c r="F88" s="3">
        <f>SUM(F18:F87)</f>
        <v>0</v>
      </c>
      <c r="H88" s="3">
        <f>SUM(F18:F86)</f>
        <v>0</v>
      </c>
      <c r="P88" s="25"/>
    </row>
    <row r="89" spans="1:16" ht="12.75">
      <c r="A89" s="25"/>
      <c r="B89" s="28"/>
      <c r="D89" s="7">
        <f>IF(OR(F11&gt;0,F14&gt;0,F80=0,F80&gt;=17),"","FRAIS DE DOSSIER si &lt; 17 euros")</f>
      </c>
      <c r="F89" s="21">
        <f>IF(OR(F11&gt;0,F14&gt;0,F80=0,F80&gt;=17),"",3.177)</f>
      </c>
      <c r="P89" s="25"/>
    </row>
    <row r="90" spans="1:16" ht="12.75">
      <c r="A90" s="25"/>
      <c r="B90" s="28"/>
      <c r="C90" s="172" t="s">
        <v>214</v>
      </c>
      <c r="P90" s="25"/>
    </row>
    <row r="91" spans="1:16" ht="13.5" customHeight="1">
      <c r="A91" s="25"/>
      <c r="B91" s="29"/>
      <c r="C91" s="32" t="s">
        <v>212</v>
      </c>
      <c r="D91" s="7">
        <f>IF(B91=0,"","COPRO PARASITAIRE")</f>
      </c>
      <c r="E91" s="3">
        <f>IF(B91=0,"",23.625*J91)</f>
      </c>
      <c r="F91" s="3">
        <f>IF(B91=0,"",B91*E91)</f>
      </c>
      <c r="I91" s="16"/>
      <c r="J91">
        <f>IF(B91&lt;3,1,0.93)</f>
        <v>1</v>
      </c>
      <c r="P91" s="25"/>
    </row>
    <row r="92" spans="1:16" ht="13.5" customHeight="1">
      <c r="A92" s="25"/>
      <c r="B92" s="29"/>
      <c r="C92" s="32" t="s">
        <v>213</v>
      </c>
      <c r="D92" s="7">
        <f>IF(B92=0,"","COPRO PARASITAIRE")</f>
      </c>
      <c r="E92" s="3">
        <f>IF(B92=0,"",20.25*J92)</f>
      </c>
      <c r="F92" s="3">
        <f>IF(B92=0,"",B92*E92)</f>
      </c>
      <c r="I92" s="16"/>
      <c r="J92">
        <f>IF(B92&lt;3,1,0.93)</f>
        <v>1</v>
      </c>
      <c r="P92" s="25"/>
    </row>
    <row r="93" spans="1:16" ht="13.5" customHeight="1">
      <c r="A93" s="25"/>
      <c r="B93" s="29"/>
      <c r="C93" s="166" t="s">
        <v>215</v>
      </c>
      <c r="D93" s="7"/>
      <c r="E93" s="3">
        <f>IF(B93=0,"",19.355*J93)</f>
      </c>
      <c r="F93" s="3">
        <f>IF(B93=0,"",B93*E93)</f>
      </c>
      <c r="I93" s="16"/>
      <c r="J93">
        <f>IF(B93&lt;3,1,0.93)</f>
        <v>1</v>
      </c>
      <c r="P93" s="25"/>
    </row>
    <row r="94" spans="1:16" ht="12.75">
      <c r="A94" s="25"/>
      <c r="B94" s="28"/>
      <c r="P94" s="25"/>
    </row>
    <row r="95" spans="1:16" ht="19.5" customHeight="1">
      <c r="A95" s="25"/>
      <c r="B95" s="28"/>
      <c r="C95" s="173" t="s">
        <v>216</v>
      </c>
      <c r="D95" s="7">
        <f>IF(OR(F9&gt;0,F12&gt;0,F78=0,F78&gt;=17),"","FRAIS DE DOSSIER si &lt; 17 euros")</f>
      </c>
      <c r="F95" s="21">
        <f>IF(OR(F9&gt;0,F12&gt;0,F78=0,F78&gt;=17),"",3.177)</f>
      </c>
      <c r="P95" s="25"/>
    </row>
    <row r="96" spans="1:16" ht="12.75">
      <c r="A96" s="25"/>
      <c r="B96" s="6" t="s">
        <v>245</v>
      </c>
      <c r="C96" s="6"/>
      <c r="D96" s="6"/>
      <c r="E96" s="174"/>
      <c r="F96" s="174"/>
      <c r="P96" s="25"/>
    </row>
    <row r="97" spans="1:16" ht="15">
      <c r="A97" s="25"/>
      <c r="B97" s="28"/>
      <c r="C97" s="251" t="s">
        <v>217</v>
      </c>
      <c r="D97" s="7">
        <f>IF(OR(F11&gt;0,F14&gt;0,F80=0,F80&gt;=17),"","FRAIS DE DOSSIER si &lt; 17 euros")</f>
      </c>
      <c r="F97" s="21">
        <f>IF(OR(F11&gt;0,F14&gt;0,F80=0,F80&gt;=17),"",3.177)</f>
      </c>
      <c r="P97" s="25"/>
    </row>
    <row r="98" spans="1:16" ht="13.5" customHeight="1">
      <c r="A98" s="25"/>
      <c r="B98" s="29"/>
      <c r="C98" s="166" t="s">
        <v>218</v>
      </c>
      <c r="D98" s="7"/>
      <c r="F98" s="3">
        <f>IF(B98=0,"",20.7+(B98-1)*11.25)</f>
      </c>
      <c r="I98" s="16"/>
      <c r="J98">
        <f>IF(B98&lt;3,1,0.93)</f>
        <v>1</v>
      </c>
      <c r="P98" s="25"/>
    </row>
    <row r="99" spans="1:16" ht="13.5" customHeight="1">
      <c r="A99" s="25"/>
      <c r="B99" s="29"/>
      <c r="C99" s="166" t="s">
        <v>221</v>
      </c>
      <c r="D99" s="7"/>
      <c r="E99" s="3">
        <f>IF(B99=0,"",10.875*J98)</f>
      </c>
      <c r="F99" s="3">
        <f aca="true" t="shared" si="4" ref="F99:F106">IF(B99=0,"",B99*E99)</f>
      </c>
      <c r="I99" s="16"/>
      <c r="P99" s="25"/>
    </row>
    <row r="100" spans="1:16" ht="13.5" customHeight="1">
      <c r="A100" s="25"/>
      <c r="B100" s="29"/>
      <c r="C100" s="166" t="s">
        <v>222</v>
      </c>
      <c r="D100" s="7"/>
      <c r="E100" s="3">
        <f>IF(B100=0,"",17.25*J98)</f>
      </c>
      <c r="F100" s="3">
        <f t="shared" si="4"/>
      </c>
      <c r="I100" s="16"/>
      <c r="P100" s="25"/>
    </row>
    <row r="101" spans="1:16" ht="13.5" customHeight="1">
      <c r="A101" s="25"/>
      <c r="B101" s="29"/>
      <c r="C101" s="175" t="s">
        <v>219</v>
      </c>
      <c r="D101" s="7"/>
      <c r="E101" s="3">
        <f>IF(B101=0,"",17.25*J98)</f>
      </c>
      <c r="F101" s="3">
        <f t="shared" si="4"/>
      </c>
      <c r="I101" s="16"/>
      <c r="P101" s="25"/>
    </row>
    <row r="102" spans="1:16" ht="13.5" customHeight="1">
      <c r="A102" s="25"/>
      <c r="B102" s="29"/>
      <c r="C102" s="175" t="s">
        <v>228</v>
      </c>
      <c r="D102">
        <f>IF(B102=0,"","Si positivité : un sérotypage sera  proposé")</f>
      </c>
      <c r="E102" s="3">
        <f>IF(B102=0,"",20.25*J102)</f>
      </c>
      <c r="F102" s="3">
        <f t="shared" si="4"/>
      </c>
      <c r="I102" s="16"/>
      <c r="J102">
        <f>IF(B102&lt;3,1,0.93)</f>
        <v>1</v>
      </c>
      <c r="P102" s="25"/>
    </row>
    <row r="103" spans="1:16" ht="13.5" customHeight="1">
      <c r="A103" s="25"/>
      <c r="B103" s="29"/>
      <c r="C103" s="175" t="s">
        <v>229</v>
      </c>
      <c r="D103">
        <f>IF(B103=0,"","Si positivité : un sérotypage sera  proposé")</f>
      </c>
      <c r="E103" s="3">
        <f>IF(B103=0,"",14.25*J103)</f>
      </c>
      <c r="F103" s="3">
        <f t="shared" si="4"/>
      </c>
      <c r="I103" s="16"/>
      <c r="J103">
        <f>IF(B103&lt;3,1,0.93)</f>
        <v>1</v>
      </c>
      <c r="P103" s="25"/>
    </row>
    <row r="104" spans="1:16" ht="13.5" customHeight="1">
      <c r="A104" s="25"/>
      <c r="B104" s="29"/>
      <c r="C104" s="175" t="s">
        <v>234</v>
      </c>
      <c r="D104" s="7"/>
      <c r="E104" s="3">
        <f>IF(B104=0,"",39.75)</f>
      </c>
      <c r="F104" s="3">
        <f t="shared" si="4"/>
      </c>
      <c r="P104" s="25"/>
    </row>
    <row r="105" spans="1:16" ht="13.5" customHeight="1">
      <c r="A105" s="25"/>
      <c r="B105" s="29"/>
      <c r="C105" s="175" t="s">
        <v>235</v>
      </c>
      <c r="E105" s="3">
        <f>IF(B105=0,"",33.375)</f>
      </c>
      <c r="F105" s="3">
        <f t="shared" si="4"/>
      </c>
      <c r="P105" s="25"/>
    </row>
    <row r="106" spans="1:16" ht="13.5" customHeight="1">
      <c r="A106" s="25"/>
      <c r="B106" s="29"/>
      <c r="C106" s="175" t="s">
        <v>236</v>
      </c>
      <c r="E106" s="3">
        <f>IF(B106=0,"",27.75)</f>
      </c>
      <c r="F106" s="3">
        <f t="shared" si="4"/>
      </c>
      <c r="P106" s="25"/>
    </row>
    <row r="107" spans="1:16" ht="18" customHeight="1">
      <c r="A107" s="25"/>
      <c r="B107" s="28"/>
      <c r="C107" s="176" t="s">
        <v>220</v>
      </c>
      <c r="P107" s="25"/>
    </row>
    <row r="108" spans="1:16" ht="15">
      <c r="A108" s="25"/>
      <c r="B108" s="28"/>
      <c r="C108" s="251" t="s">
        <v>223</v>
      </c>
      <c r="D108" s="7"/>
      <c r="F108" s="21"/>
      <c r="P108" s="25"/>
    </row>
    <row r="109" spans="1:16" ht="13.5" customHeight="1">
      <c r="A109" s="25"/>
      <c r="B109" s="29"/>
      <c r="C109" s="175" t="s">
        <v>224</v>
      </c>
      <c r="D109" s="7"/>
      <c r="E109" s="3">
        <f>IF(B109=0,"",40.5*J109)</f>
      </c>
      <c r="F109" s="3">
        <f>IF(B109=0,"",B109*E109)</f>
      </c>
      <c r="I109" s="16"/>
      <c r="J109">
        <f>IF(B109&lt;3,1,0.93)</f>
        <v>1</v>
      </c>
      <c r="P109" s="25"/>
    </row>
    <row r="110" spans="1:16" ht="13.5" customHeight="1">
      <c r="A110" s="25"/>
      <c r="B110" s="29"/>
      <c r="C110" s="175" t="s">
        <v>225</v>
      </c>
      <c r="E110" s="3">
        <f>IF(B110=0,"",17.25*J110)</f>
      </c>
      <c r="F110" s="3">
        <f>IF(B110=0,"",B110*E110)</f>
      </c>
      <c r="I110" s="16"/>
      <c r="J110">
        <f>IF(B110&lt;3,1,0.93)</f>
        <v>1</v>
      </c>
      <c r="P110" s="25"/>
    </row>
    <row r="111" spans="1:16" ht="13.5" customHeight="1">
      <c r="A111" s="25"/>
      <c r="B111" s="29"/>
      <c r="C111" s="175" t="s">
        <v>239</v>
      </c>
      <c r="D111" s="7">
        <f>IF(OR(F12&gt;0,F15&gt;0,F81=0,F81&gt;=17),"","FRAIS DE DOSSIER si &lt; 17 euros")</f>
      </c>
      <c r="E111" s="3">
        <f>IF(B111=0,"",46.5*J111)</f>
      </c>
      <c r="F111" s="3">
        <f>IF(B111=0,"",B111*E111)</f>
      </c>
      <c r="I111" s="16"/>
      <c r="J111">
        <f>IF(B111&lt;3,1,0.93)</f>
        <v>1</v>
      </c>
      <c r="P111" s="25"/>
    </row>
    <row r="112" spans="1:16" ht="13.5" customHeight="1">
      <c r="A112" s="25"/>
      <c r="B112" s="29"/>
      <c r="C112" s="175" t="s">
        <v>240</v>
      </c>
      <c r="D112" s="7">
        <f>IF(OR(F13&gt;0,F16&gt;0,F82=0,F82&gt;=17),"","FRAIS DE DOSSIER si &lt; 17 euros")</f>
      </c>
      <c r="E112" s="3">
        <f>IF(B112=0,"",29.25*J112)</f>
      </c>
      <c r="F112" s="3">
        <f>IF(B112=0,"",B112*E112)</f>
      </c>
      <c r="I112" s="16"/>
      <c r="J112">
        <f>IF(B112&lt;3,1,0.93)</f>
        <v>1</v>
      </c>
      <c r="P112" s="25"/>
    </row>
    <row r="113" spans="1:16" ht="13.5" customHeight="1">
      <c r="A113" s="25"/>
      <c r="B113" s="29"/>
      <c r="C113" s="175" t="s">
        <v>226</v>
      </c>
      <c r="E113" s="3">
        <f>IF(B113=0,"",13.5*J112)</f>
      </c>
      <c r="F113" s="3">
        <f>IF(B113=0,"",B113*E113)</f>
      </c>
      <c r="I113" s="16"/>
      <c r="P113" s="25"/>
    </row>
    <row r="114" spans="1:16" ht="13.5" customHeight="1">
      <c r="A114" s="25"/>
      <c r="B114" s="28"/>
      <c r="C114" s="176" t="s">
        <v>227</v>
      </c>
      <c r="D114" s="7"/>
      <c r="F114" s="21">
        <f>IF(OR(F15&gt;0,F18&gt;0,F84=0,F84&gt;=17),"",3.177)</f>
      </c>
      <c r="P114" s="25"/>
    </row>
    <row r="115" spans="1:16" ht="15">
      <c r="A115" s="25"/>
      <c r="B115" s="28"/>
      <c r="C115" s="251" t="s">
        <v>230</v>
      </c>
      <c r="P115" s="25"/>
    </row>
    <row r="116" spans="1:16" ht="13.5" customHeight="1">
      <c r="A116" s="25"/>
      <c r="B116" s="29"/>
      <c r="C116" s="175" t="s">
        <v>231</v>
      </c>
      <c r="D116" s="7"/>
      <c r="F116" s="3">
        <f>IF(B116=0,"",29.7+(B116-1)*15.75)</f>
      </c>
      <c r="I116" s="16"/>
      <c r="J116">
        <f>IF(B116&lt;3,1,0.93)</f>
        <v>1</v>
      </c>
      <c r="P116" s="25"/>
    </row>
    <row r="117" spans="1:16" ht="13.5" customHeight="1">
      <c r="A117" s="25"/>
      <c r="B117" s="29"/>
      <c r="C117" s="175" t="s">
        <v>232</v>
      </c>
      <c r="F117" s="3">
        <f>IF(B117=0,"",20.7+(B117-1)*11.25)</f>
      </c>
      <c r="I117" s="16"/>
      <c r="J117">
        <f>IF(B117&lt;3,1,0.93)</f>
        <v>1</v>
      </c>
      <c r="P117" s="25"/>
    </row>
    <row r="118" spans="1:16" ht="13.5" customHeight="1">
      <c r="A118" s="25"/>
      <c r="B118" s="29"/>
      <c r="C118" s="166" t="s">
        <v>221</v>
      </c>
      <c r="D118" s="7"/>
      <c r="E118" s="3">
        <f>IF(B118=0,"",10.875*(J116+J117-1))</f>
      </c>
      <c r="F118" s="3">
        <f>IF(B118=0,"",B118*E118)</f>
      </c>
      <c r="I118" s="16"/>
      <c r="P118" s="25"/>
    </row>
    <row r="119" spans="1:16" ht="13.5" customHeight="1">
      <c r="A119" s="25"/>
      <c r="B119" s="29"/>
      <c r="C119" s="166" t="s">
        <v>222</v>
      </c>
      <c r="D119" s="7"/>
      <c r="E119" s="3">
        <f>IF(B119=0,"",17.25*(J116+J117-1))</f>
      </c>
      <c r="F119" s="3">
        <f>IF(B119=0,"",B119*E119)</f>
      </c>
      <c r="I119" s="16"/>
      <c r="P119" s="25"/>
    </row>
    <row r="120" spans="1:16" ht="13.5" customHeight="1">
      <c r="A120" s="25"/>
      <c r="B120" s="29"/>
      <c r="C120" s="166" t="s">
        <v>233</v>
      </c>
      <c r="D120" s="7"/>
      <c r="E120" s="3">
        <f>IF(B120=0,"",15.75*(J118+J119-1))</f>
      </c>
      <c r="F120" s="3">
        <f>IF(B120=0,"",B120*E120)</f>
      </c>
      <c r="I120" s="16"/>
      <c r="P120" s="25"/>
    </row>
    <row r="121" spans="1:16" ht="12.75">
      <c r="A121" s="25"/>
      <c r="B121" s="28"/>
      <c r="P121" s="25"/>
    </row>
    <row r="122" spans="1:16" ht="12.75">
      <c r="A122" s="25"/>
      <c r="B122" s="28"/>
      <c r="D122" s="20" t="s">
        <v>238</v>
      </c>
      <c r="F122" s="3">
        <f>SUM(F91:F120)</f>
        <v>0</v>
      </c>
      <c r="H122" s="3">
        <f>SUM(F51:F120)</f>
        <v>0</v>
      </c>
      <c r="P122" s="25"/>
    </row>
    <row r="123" spans="1:16" ht="12.75">
      <c r="A123" s="25"/>
      <c r="B123" s="28"/>
      <c r="D123" s="7" t="str">
        <f>IF(F88+F122&gt;=20,"","FRAIS DE DOSSIER si &lt; 20 euros")</f>
        <v>FRAIS DE DOSSIER si &lt; 20 euros</v>
      </c>
      <c r="F123" s="21">
        <f>IF(F88+F122&gt;=20,"",6.667)</f>
        <v>6.667</v>
      </c>
      <c r="P123" s="25"/>
    </row>
    <row r="124" spans="1:16" ht="12.75">
      <c r="A124" s="25"/>
      <c r="B124" s="28"/>
      <c r="D124" s="7"/>
      <c r="F124" s="21"/>
      <c r="P124" s="25"/>
    </row>
    <row r="125" spans="1:16" ht="12.75">
      <c r="A125" s="25"/>
      <c r="B125" s="28"/>
      <c r="C125" s="148" t="s">
        <v>162</v>
      </c>
      <c r="P125" s="25"/>
    </row>
    <row r="126" spans="1:16" ht="14.25" customHeight="1">
      <c r="A126" s="149"/>
      <c r="B126" s="141">
        <v>1</v>
      </c>
      <c r="C126" s="178" t="s">
        <v>180</v>
      </c>
      <c r="D126" s="179"/>
      <c r="E126" s="142">
        <v>3.333</v>
      </c>
      <c r="F126" s="142">
        <f>IF(B126=0,"",E126)</f>
        <v>3.333</v>
      </c>
      <c r="G126" s="143"/>
      <c r="H126" s="143"/>
      <c r="I126" s="143"/>
      <c r="P126" s="25"/>
    </row>
    <row r="127" spans="1:16" ht="12.75">
      <c r="A127" s="25"/>
      <c r="B127" s="28"/>
      <c r="C127" s="17" t="s">
        <v>163</v>
      </c>
      <c r="J127" s="143"/>
      <c r="P127" s="25"/>
    </row>
    <row r="128" spans="1:16" ht="13.5" customHeight="1">
      <c r="A128" s="25"/>
      <c r="B128" s="29"/>
      <c r="C128" s="32" t="s">
        <v>193</v>
      </c>
      <c r="D128" s="7">
        <f>IF(B128=0,"","TRANSPORT")</f>
      </c>
      <c r="E128" s="3">
        <v>15</v>
      </c>
      <c r="F128" s="3">
        <f aca="true" t="shared" si="5" ref="F128:F133">IF(B128=0,"",E128)</f>
      </c>
      <c r="P128" s="25"/>
    </row>
    <row r="129" spans="1:16" ht="13.5" customHeight="1">
      <c r="A129" s="25"/>
      <c r="B129" s="29"/>
      <c r="C129" s="7" t="s">
        <v>39</v>
      </c>
      <c r="D129" s="7">
        <f>IF(B129=0,"","TRANSPORT")</f>
      </c>
      <c r="E129" s="3">
        <v>15</v>
      </c>
      <c r="F129" s="3">
        <f t="shared" si="5"/>
      </c>
      <c r="P129" s="25"/>
    </row>
    <row r="130" spans="1:16" ht="13.5" customHeight="1">
      <c r="A130" s="25"/>
      <c r="B130" s="29"/>
      <c r="C130" s="7" t="s">
        <v>40</v>
      </c>
      <c r="D130" s="7">
        <f>IF(B130=0,"","TRANSPORT")</f>
      </c>
      <c r="E130" s="3">
        <v>15</v>
      </c>
      <c r="F130" s="3">
        <f t="shared" si="5"/>
      </c>
      <c r="P130" s="25"/>
    </row>
    <row r="131" spans="1:16" ht="13.5" customHeight="1">
      <c r="A131" s="25"/>
      <c r="B131" s="29"/>
      <c r="C131" s="7" t="s">
        <v>41</v>
      </c>
      <c r="D131" s="7">
        <f>IF(B131=0,"","TRANSPORT")</f>
      </c>
      <c r="E131" s="3">
        <v>20</v>
      </c>
      <c r="F131" s="3">
        <f t="shared" si="5"/>
      </c>
      <c r="P131" s="25"/>
    </row>
    <row r="132" spans="1:16" ht="13.5" customHeight="1">
      <c r="A132" s="25"/>
      <c r="B132" s="29"/>
      <c r="C132" s="32" t="s">
        <v>241</v>
      </c>
      <c r="D132" s="7"/>
      <c r="E132" s="3">
        <v>15</v>
      </c>
      <c r="F132" s="3">
        <f t="shared" si="5"/>
      </c>
      <c r="P132" s="25"/>
    </row>
    <row r="133" spans="1:16" ht="13.5" customHeight="1">
      <c r="A133" s="25"/>
      <c r="B133" s="29"/>
      <c r="C133" s="32" t="s">
        <v>242</v>
      </c>
      <c r="D133" s="7"/>
      <c r="E133" s="3">
        <v>12</v>
      </c>
      <c r="F133" s="3">
        <f t="shared" si="5"/>
      </c>
      <c r="P133" s="25"/>
    </row>
    <row r="134" spans="1:16" ht="12.75">
      <c r="A134" s="25"/>
      <c r="B134" s="28"/>
      <c r="P134" s="25"/>
    </row>
    <row r="135" spans="1:16" ht="12.75">
      <c r="A135" s="25"/>
      <c r="B135" s="28"/>
      <c r="C135" s="17" t="s">
        <v>42</v>
      </c>
      <c r="P135" s="25"/>
    </row>
    <row r="136" spans="1:16" ht="13.5" customHeight="1">
      <c r="A136" s="25"/>
      <c r="B136" s="29"/>
      <c r="C136" t="s">
        <v>43</v>
      </c>
      <c r="P136" s="25"/>
    </row>
    <row r="137" spans="1:16" ht="13.5" customHeight="1">
      <c r="A137" s="25"/>
      <c r="B137" s="29"/>
      <c r="C137" s="7" t="s">
        <v>44</v>
      </c>
      <c r="P137" s="25"/>
    </row>
    <row r="138" spans="1:16" ht="13.5" customHeight="1">
      <c r="A138" s="25"/>
      <c r="B138" s="177"/>
      <c r="C138" s="7" t="s">
        <v>170</v>
      </c>
      <c r="P138" s="25"/>
    </row>
    <row r="139" spans="1:16" ht="15.75">
      <c r="A139" s="25"/>
      <c r="B139" s="24"/>
      <c r="D139" s="23" t="s">
        <v>45</v>
      </c>
      <c r="F139" s="22">
        <f>SUM(F88:F138)</f>
        <v>10</v>
      </c>
      <c r="P139" s="25"/>
    </row>
    <row r="140" spans="1:16" ht="12.75">
      <c r="A140" s="25"/>
      <c r="B140" s="24"/>
      <c r="C140" s="25"/>
      <c r="D140" s="25"/>
      <c r="E140" s="26"/>
      <c r="F140" s="26"/>
      <c r="P140" s="25"/>
    </row>
    <row r="141" spans="1:16" s="143" customFormat="1" ht="18" customHeight="1">
      <c r="A141"/>
      <c r="B141" s="8"/>
      <c r="C141"/>
      <c r="D141"/>
      <c r="E141" s="3"/>
      <c r="F141" s="3"/>
      <c r="G141"/>
      <c r="H141"/>
      <c r="I141"/>
      <c r="J141"/>
      <c r="P141" s="149"/>
    </row>
    <row r="142" ht="12.75">
      <c r="P142" s="25"/>
    </row>
    <row r="143" ht="12.75">
      <c r="P143" s="25"/>
    </row>
    <row r="144" ht="12.75">
      <c r="P144" s="25"/>
    </row>
    <row r="145" ht="12.75">
      <c r="P145" s="25"/>
    </row>
    <row r="146" ht="12.75">
      <c r="P146" s="25"/>
    </row>
    <row r="147" ht="12.75">
      <c r="P147" s="25"/>
    </row>
    <row r="148" ht="12.75">
      <c r="P148" s="25"/>
    </row>
    <row r="149" ht="12.75">
      <c r="P149" s="25"/>
    </row>
    <row r="150" ht="12.75">
      <c r="P150" s="25"/>
    </row>
    <row r="151" ht="12.75">
      <c r="P151" s="25"/>
    </row>
    <row r="152" ht="12.75">
      <c r="P152" s="25"/>
    </row>
    <row r="153" ht="12.75">
      <c r="P153" s="25"/>
    </row>
    <row r="154" ht="12.75">
      <c r="P154" s="25"/>
    </row>
  </sheetData>
  <sheetProtection selectLockedCells="1"/>
  <mergeCells count="9">
    <mergeCell ref="C126:D126"/>
    <mergeCell ref="K16:L16"/>
    <mergeCell ref="N16:O16"/>
    <mergeCell ref="A8:K8"/>
    <mergeCell ref="A9:K9"/>
    <mergeCell ref="B2:C2"/>
    <mergeCell ref="B3:C3"/>
    <mergeCell ref="B5:C5"/>
    <mergeCell ref="B6:C6"/>
  </mergeCells>
  <conditionalFormatting sqref="D38 D35 D80 D85 D71 D53 D82:D83">
    <cfRule type="cellIs" priority="5" dxfId="0" operator="equal" stopIfTrue="1">
      <formula>"NOUVEAU !"</formula>
    </cfRule>
  </conditionalFormatting>
  <conditionalFormatting sqref="D22 D30:D32">
    <cfRule type="cellIs" priority="7" dxfId="0" operator="equal" stopIfTrue="1">
      <formula>"PRIX BAS"</formula>
    </cfRule>
  </conditionalFormatting>
  <conditionalFormatting sqref="D44">
    <cfRule type="containsText" priority="3" dxfId="4" operator="containsText" stopIfTrue="1" text="à voir !  Dépistage sur lait de tank">
      <formula>NOT(ISERROR(SEARCH("à voir !  Dépistage sur lait de tank",D44)))</formula>
    </cfRule>
    <cfRule type="containsText" priority="4" dxfId="3" operator="containsText" stopIfTrue="1" text="à voir !  Dépistage sur lait de tank">
      <formula>NOT(ISERROR(SEARCH("à voir !  Dépistage sur lait de tank",D44)))</formula>
    </cfRule>
    <cfRule type="cellIs" priority="8" dxfId="0" operator="equal" stopIfTrue="1">
      <formula>"à voir ! - lait de tank"</formula>
    </cfRule>
  </conditionalFormatting>
  <conditionalFormatting sqref="A8:K8">
    <cfRule type="cellIs" priority="9" dxfId="1" operator="between" stopIfTrue="1">
      <formula>"ATTENTION !  TARIFS PERIMES  -  Téléchargez la nouvelle version sur notre site ou demandez la par courriel."</formula>
      <formula>0</formula>
    </cfRule>
  </conditionalFormatting>
  <conditionalFormatting sqref="D70">
    <cfRule type="cellIs" priority="1" dxfId="0" operator="equal" stopIfTrue="1">
      <formula>"NOUVEAU !"</formula>
    </cfRule>
  </conditionalFormatting>
  <printOptions/>
  <pageMargins left="0.3937007874015748" right="0.3937007874015748" top="0.7874015748031497" bottom="0.1968503937007874" header="0" footer="0.11811023622047245"/>
  <pageSetup fitToHeight="2" horizontalDpi="600" verticalDpi="600" orientation="portrait" paperSize="9" scale="55" r:id="rId4"/>
  <rowBreaks count="1" manualBreakCount="1">
    <brk id="94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4"/>
  <sheetViews>
    <sheetView zoomScalePageLayoutView="0" workbookViewId="0" topLeftCell="A1">
      <selection activeCell="J124" sqref="J124"/>
    </sheetView>
  </sheetViews>
  <sheetFormatPr defaultColWidth="11.421875" defaultRowHeight="12.75"/>
  <cols>
    <col min="1" max="1" width="13.00390625" style="0" customWidth="1"/>
    <col min="2" max="2" width="23.28125" style="0" customWidth="1"/>
    <col min="6" max="6" width="12.421875" style="0" customWidth="1"/>
    <col min="9" max="9" width="15.57421875" style="0" customWidth="1"/>
    <col min="10" max="10" width="12.8515625" style="0" customWidth="1"/>
  </cols>
  <sheetData>
    <row r="1" spans="1:14" ht="18.75" customHeight="1">
      <c r="A1" s="6"/>
      <c r="B1" s="47"/>
      <c r="G1" s="48"/>
      <c r="H1" s="49"/>
      <c r="M1" s="6"/>
      <c r="N1" s="6"/>
    </row>
    <row r="2" spans="1:6" ht="18.75" customHeight="1">
      <c r="A2" s="134" t="s">
        <v>140</v>
      </c>
      <c r="B2" s="50"/>
      <c r="C2" s="4"/>
      <c r="E2" s="20"/>
      <c r="F2" s="47"/>
    </row>
    <row r="3" ht="18.75" customHeight="1"/>
    <row r="5" spans="1:10" ht="15">
      <c r="A5" s="203" t="s">
        <v>55</v>
      </c>
      <c r="B5" s="204"/>
      <c r="C5" s="204"/>
      <c r="D5" s="204"/>
      <c r="E5" s="204"/>
      <c r="F5" s="204"/>
      <c r="G5" s="204"/>
      <c r="H5" s="204"/>
      <c r="I5" s="204"/>
      <c r="J5" s="205"/>
    </row>
    <row r="6" ht="8.25" customHeight="1"/>
    <row r="7" spans="3:8" ht="23.25">
      <c r="C7" s="206" t="s">
        <v>176</v>
      </c>
      <c r="D7" s="207"/>
      <c r="E7" s="207"/>
      <c r="F7" s="207"/>
      <c r="G7" s="207"/>
      <c r="H7" s="207"/>
    </row>
    <row r="8" spans="3:8" ht="23.25">
      <c r="C8" s="208" t="s">
        <v>154</v>
      </c>
      <c r="D8" s="207"/>
      <c r="E8" s="207"/>
      <c r="F8" s="207"/>
      <c r="G8" s="207"/>
      <c r="H8" s="207"/>
    </row>
    <row r="10" spans="4:11" ht="15.75">
      <c r="D10" s="213" t="s">
        <v>183</v>
      </c>
      <c r="E10" s="213"/>
      <c r="F10" s="213"/>
      <c r="G10" s="213"/>
      <c r="H10" s="213"/>
      <c r="J10" s="51"/>
      <c r="K10" s="52"/>
    </row>
    <row r="11" spans="4:11" ht="15.75">
      <c r="D11" s="214" t="s">
        <v>56</v>
      </c>
      <c r="E11" s="214"/>
      <c r="F11" s="214"/>
      <c r="G11" s="214"/>
      <c r="H11" s="214"/>
      <c r="J11" s="51"/>
      <c r="K11" s="52"/>
    </row>
    <row r="12" spans="4:11" ht="15.75">
      <c r="D12" s="53" t="s">
        <v>57</v>
      </c>
      <c r="H12" s="212" t="s">
        <v>58</v>
      </c>
      <c r="J12" s="51"/>
      <c r="K12" s="54"/>
    </row>
    <row r="13" spans="4:10" ht="15.75">
      <c r="D13" s="53" t="s">
        <v>59</v>
      </c>
      <c r="H13" s="212"/>
      <c r="I13" s="51"/>
      <c r="J13" s="51"/>
    </row>
    <row r="14" spans="4:11" ht="15.75">
      <c r="D14" s="53" t="s">
        <v>60</v>
      </c>
      <c r="H14" s="212"/>
      <c r="I14" s="51"/>
      <c r="J14" s="51"/>
      <c r="K14" s="54"/>
    </row>
    <row r="16" spans="2:4" ht="15">
      <c r="B16" s="54" t="s">
        <v>61</v>
      </c>
      <c r="C16" s="55" t="s">
        <v>62</v>
      </c>
      <c r="D16" s="56"/>
    </row>
    <row r="17" spans="1:4" ht="15">
      <c r="A17" s="57"/>
      <c r="C17" s="57" t="s">
        <v>63</v>
      </c>
      <c r="D17" s="56"/>
    </row>
    <row r="18" spans="1:4" ht="15">
      <c r="A18" s="57"/>
      <c r="C18" s="55" t="s">
        <v>64</v>
      </c>
      <c r="D18" s="56"/>
    </row>
    <row r="19" spans="1:4" ht="15">
      <c r="A19" s="57"/>
      <c r="C19" s="58" t="s">
        <v>65</v>
      </c>
      <c r="D19" s="56"/>
    </row>
    <row r="20" spans="1:4" ht="15">
      <c r="A20" s="57"/>
      <c r="C20" s="58"/>
      <c r="D20" s="56"/>
    </row>
    <row r="21" spans="1:4" ht="15">
      <c r="A21" s="57"/>
      <c r="C21" s="58"/>
      <c r="D21" s="7" t="s">
        <v>66</v>
      </c>
    </row>
    <row r="22" ht="12" customHeight="1"/>
    <row r="23" spans="1:10" ht="15">
      <c r="A23" s="51" t="s">
        <v>67</v>
      </c>
      <c r="B23" s="54"/>
      <c r="C23" s="54"/>
      <c r="D23" s="54"/>
      <c r="E23" s="54"/>
      <c r="F23" s="54"/>
      <c r="G23" s="54"/>
      <c r="H23" s="54"/>
      <c r="I23" s="54"/>
      <c r="J23" s="23" t="s">
        <v>202</v>
      </c>
    </row>
    <row r="24" spans="1:10" ht="15">
      <c r="A24" s="54"/>
      <c r="B24" s="54"/>
      <c r="C24" s="54"/>
      <c r="D24" s="54"/>
      <c r="E24" s="54"/>
      <c r="F24" s="54"/>
      <c r="G24" s="54"/>
      <c r="H24" s="54"/>
      <c r="I24" s="54"/>
      <c r="J24" s="23" t="s">
        <v>146</v>
      </c>
    </row>
    <row r="25" spans="1:10" ht="15">
      <c r="A25" s="59" t="s">
        <v>68</v>
      </c>
      <c r="B25" s="59" t="s">
        <v>69</v>
      </c>
      <c r="C25" s="60" t="s">
        <v>70</v>
      </c>
      <c r="D25" s="61"/>
      <c r="E25" s="61"/>
      <c r="F25" s="62"/>
      <c r="G25" s="60" t="s">
        <v>71</v>
      </c>
      <c r="H25" s="61"/>
      <c r="I25" s="62"/>
      <c r="J25" s="63"/>
    </row>
    <row r="26" spans="1:10" ht="15">
      <c r="A26" s="64"/>
      <c r="B26" s="64"/>
      <c r="C26" s="65"/>
      <c r="D26" s="66"/>
      <c r="E26" s="66"/>
      <c r="F26" s="67"/>
      <c r="G26" s="65"/>
      <c r="H26" s="66"/>
      <c r="I26" s="67"/>
      <c r="J26" s="64"/>
    </row>
    <row r="27" spans="1:11" ht="18" customHeight="1">
      <c r="A27" s="68" t="s">
        <v>72</v>
      </c>
      <c r="B27" s="69" t="s">
        <v>73</v>
      </c>
      <c r="C27" s="190" t="s">
        <v>74</v>
      </c>
      <c r="D27" s="191"/>
      <c r="E27" s="191"/>
      <c r="F27" s="192"/>
      <c r="G27" s="185" t="s">
        <v>75</v>
      </c>
      <c r="H27" s="186"/>
      <c r="I27" s="193"/>
      <c r="J27" s="70">
        <v>43</v>
      </c>
      <c r="K27" t="s">
        <v>191</v>
      </c>
    </row>
    <row r="28" spans="1:10" ht="45" customHeight="1">
      <c r="A28" s="68"/>
      <c r="B28" s="71" t="s">
        <v>76</v>
      </c>
      <c r="C28" s="209" t="s">
        <v>77</v>
      </c>
      <c r="D28" s="210"/>
      <c r="E28" s="210"/>
      <c r="F28" s="211"/>
      <c r="G28" s="185"/>
      <c r="H28" s="186"/>
      <c r="I28" s="193"/>
      <c r="J28" s="153">
        <v>47.7</v>
      </c>
    </row>
    <row r="29" spans="1:11" ht="12.75" customHeight="1">
      <c r="A29" s="68" t="s">
        <v>81</v>
      </c>
      <c r="B29" s="71"/>
      <c r="C29" s="138" t="s">
        <v>147</v>
      </c>
      <c r="D29" s="72"/>
      <c r="E29" s="72"/>
      <c r="F29" s="137"/>
      <c r="G29" s="185" t="s">
        <v>75</v>
      </c>
      <c r="H29" s="186"/>
      <c r="I29" s="186"/>
      <c r="J29" s="70">
        <v>43</v>
      </c>
      <c r="K29" t="s">
        <v>191</v>
      </c>
    </row>
    <row r="30" spans="1:10" ht="12.75" customHeight="1">
      <c r="A30" s="64"/>
      <c r="B30" s="73"/>
      <c r="C30" s="74"/>
      <c r="D30" s="75"/>
      <c r="E30" s="75"/>
      <c r="F30" s="76"/>
      <c r="G30" s="74"/>
      <c r="H30" s="75"/>
      <c r="I30" s="76"/>
      <c r="J30" s="77"/>
    </row>
    <row r="31" spans="1:10" ht="18" customHeight="1">
      <c r="A31" s="64"/>
      <c r="B31" s="64"/>
      <c r="C31" s="78"/>
      <c r="D31" s="66"/>
      <c r="E31" s="66"/>
      <c r="F31" s="67"/>
      <c r="G31" s="65"/>
      <c r="H31" s="66"/>
      <c r="I31" s="67"/>
      <c r="J31" s="79"/>
    </row>
    <row r="32" spans="1:11" ht="17.25">
      <c r="A32" s="68" t="s">
        <v>72</v>
      </c>
      <c r="B32" s="69" t="s">
        <v>78</v>
      </c>
      <c r="C32" s="226" t="s">
        <v>187</v>
      </c>
      <c r="D32" s="227"/>
      <c r="E32" s="227"/>
      <c r="F32" s="228"/>
      <c r="G32" s="185" t="s">
        <v>79</v>
      </c>
      <c r="H32" s="186"/>
      <c r="I32" s="193"/>
      <c r="J32" s="70">
        <v>22</v>
      </c>
      <c r="K32" t="s">
        <v>191</v>
      </c>
    </row>
    <row r="33" spans="1:10" ht="30" customHeight="1">
      <c r="A33" s="68"/>
      <c r="B33" s="225" t="s">
        <v>80</v>
      </c>
      <c r="C33" s="229"/>
      <c r="D33" s="227"/>
      <c r="E33" s="227"/>
      <c r="F33" s="228"/>
      <c r="G33" s="185"/>
      <c r="H33" s="186"/>
      <c r="I33" s="193"/>
      <c r="J33" s="153">
        <v>24</v>
      </c>
    </row>
    <row r="34" spans="1:10" ht="12.75" customHeight="1">
      <c r="A34" s="68"/>
      <c r="B34" s="225"/>
      <c r="C34" s="229"/>
      <c r="D34" s="227"/>
      <c r="E34" s="227"/>
      <c r="F34" s="228"/>
      <c r="G34" s="185"/>
      <c r="H34" s="186"/>
      <c r="I34" s="193"/>
      <c r="J34" s="70"/>
    </row>
    <row r="35" spans="1:10" ht="12.75" customHeight="1">
      <c r="A35" s="64"/>
      <c r="B35" s="80"/>
      <c r="C35" s="81"/>
      <c r="D35" s="82"/>
      <c r="E35" s="82"/>
      <c r="F35" s="83"/>
      <c r="G35" s="74"/>
      <c r="H35" s="75"/>
      <c r="I35" s="76"/>
      <c r="J35" s="79"/>
    </row>
    <row r="36" spans="1:10" ht="15">
      <c r="A36" s="64"/>
      <c r="B36" s="64"/>
      <c r="C36" s="65"/>
      <c r="D36" s="66"/>
      <c r="E36" s="66"/>
      <c r="F36" s="67"/>
      <c r="G36" s="65"/>
      <c r="H36" s="66"/>
      <c r="I36" s="67"/>
      <c r="J36" s="79"/>
    </row>
    <row r="37" spans="1:11" ht="17.25">
      <c r="A37" s="68" t="s">
        <v>81</v>
      </c>
      <c r="B37" s="69" t="s">
        <v>82</v>
      </c>
      <c r="C37" s="84" t="s">
        <v>83</v>
      </c>
      <c r="D37" s="85"/>
      <c r="E37" s="85"/>
      <c r="F37" s="86"/>
      <c r="G37" s="185" t="s">
        <v>84</v>
      </c>
      <c r="H37" s="186"/>
      <c r="I37" s="193"/>
      <c r="J37" s="70">
        <v>27</v>
      </c>
      <c r="K37" t="s">
        <v>191</v>
      </c>
    </row>
    <row r="38" spans="1:10" ht="12.75" customHeight="1">
      <c r="A38" s="68"/>
      <c r="B38" s="68" t="s">
        <v>76</v>
      </c>
      <c r="C38" s="84" t="s">
        <v>85</v>
      </c>
      <c r="D38" s="85"/>
      <c r="E38" s="85"/>
      <c r="F38" s="86"/>
      <c r="G38" s="185"/>
      <c r="H38" s="186"/>
      <c r="I38" s="193"/>
      <c r="J38" s="153">
        <v>31.5</v>
      </c>
    </row>
    <row r="39" spans="1:10" ht="12.75" customHeight="1">
      <c r="A39" s="64"/>
      <c r="B39" s="64"/>
      <c r="C39" s="65"/>
      <c r="D39" s="66"/>
      <c r="E39" s="66"/>
      <c r="F39" s="67"/>
      <c r="G39" s="74"/>
      <c r="H39" s="75"/>
      <c r="I39" s="76"/>
      <c r="J39" s="79"/>
    </row>
    <row r="40" spans="1:10" ht="15">
      <c r="A40" s="64"/>
      <c r="B40" s="64"/>
      <c r="C40" s="65"/>
      <c r="D40" s="66"/>
      <c r="E40" s="66"/>
      <c r="F40" s="67"/>
      <c r="G40" s="65"/>
      <c r="H40" s="66"/>
      <c r="I40" s="67"/>
      <c r="J40" s="79"/>
    </row>
    <row r="41" spans="1:11" ht="17.25">
      <c r="A41" s="68" t="s">
        <v>81</v>
      </c>
      <c r="B41" s="69" t="s">
        <v>24</v>
      </c>
      <c r="C41" s="84" t="s">
        <v>83</v>
      </c>
      <c r="D41" s="85"/>
      <c r="E41" s="85"/>
      <c r="F41" s="86"/>
      <c r="G41" s="185" t="s">
        <v>84</v>
      </c>
      <c r="H41" s="186"/>
      <c r="I41" s="193"/>
      <c r="J41" s="70">
        <v>20</v>
      </c>
      <c r="K41" t="s">
        <v>191</v>
      </c>
    </row>
    <row r="42" spans="1:10" ht="12.75" customHeight="1">
      <c r="A42" s="68"/>
      <c r="B42" s="68" t="s">
        <v>76</v>
      </c>
      <c r="C42" s="84" t="s">
        <v>85</v>
      </c>
      <c r="D42" s="85"/>
      <c r="E42" s="85"/>
      <c r="F42" s="86"/>
      <c r="G42" s="185"/>
      <c r="H42" s="186"/>
      <c r="I42" s="193"/>
      <c r="J42" s="153">
        <v>31.5</v>
      </c>
    </row>
    <row r="43" spans="1:10" ht="12.75" customHeight="1">
      <c r="A43" s="64"/>
      <c r="B43" s="64"/>
      <c r="C43" s="65"/>
      <c r="D43" s="66"/>
      <c r="E43" s="66"/>
      <c r="F43" s="67"/>
      <c r="G43" s="74"/>
      <c r="H43" s="75"/>
      <c r="I43" s="76"/>
      <c r="J43" s="79"/>
    </row>
    <row r="44" spans="1:10" ht="15">
      <c r="A44" s="64"/>
      <c r="B44" s="64"/>
      <c r="C44" s="65"/>
      <c r="D44" s="66"/>
      <c r="E44" s="66"/>
      <c r="F44" s="67"/>
      <c r="G44" s="65"/>
      <c r="H44" s="66"/>
      <c r="I44" s="67"/>
      <c r="J44" s="79"/>
    </row>
    <row r="45" spans="1:11" ht="17.25">
      <c r="A45" s="68" t="s">
        <v>81</v>
      </c>
      <c r="B45" s="69" t="s">
        <v>86</v>
      </c>
      <c r="C45" s="84" t="s">
        <v>87</v>
      </c>
      <c r="D45" s="85"/>
      <c r="E45" s="85"/>
      <c r="F45" s="86"/>
      <c r="G45" s="185" t="s">
        <v>88</v>
      </c>
      <c r="H45" s="186"/>
      <c r="I45" s="193"/>
      <c r="J45" s="70">
        <v>43</v>
      </c>
      <c r="K45" t="s">
        <v>191</v>
      </c>
    </row>
    <row r="46" spans="1:10" ht="12.75" customHeight="1">
      <c r="A46" s="68"/>
      <c r="B46" s="68" t="s">
        <v>89</v>
      </c>
      <c r="C46" s="84" t="s">
        <v>90</v>
      </c>
      <c r="D46" s="85"/>
      <c r="E46" s="85"/>
      <c r="F46" s="86"/>
      <c r="G46" s="185"/>
      <c r="H46" s="186"/>
      <c r="I46" s="193"/>
      <c r="J46" s="153">
        <v>47.7</v>
      </c>
    </row>
    <row r="47" spans="1:10" ht="12.75" customHeight="1">
      <c r="A47" s="64"/>
      <c r="B47" s="64"/>
      <c r="C47" s="65"/>
      <c r="D47" s="66"/>
      <c r="E47" s="66"/>
      <c r="F47" s="67"/>
      <c r="G47" s="74"/>
      <c r="H47" s="75"/>
      <c r="I47" s="76"/>
      <c r="J47" s="79"/>
    </row>
    <row r="48" spans="1:10" ht="15">
      <c r="A48" s="64"/>
      <c r="B48" s="64"/>
      <c r="C48" s="65"/>
      <c r="D48" s="66"/>
      <c r="E48" s="66"/>
      <c r="F48" s="67"/>
      <c r="G48" s="65"/>
      <c r="H48" s="66"/>
      <c r="I48" s="67"/>
      <c r="J48" s="79"/>
    </row>
    <row r="49" spans="1:11" ht="17.25">
      <c r="A49" s="68" t="s">
        <v>81</v>
      </c>
      <c r="B49" s="69" t="s">
        <v>91</v>
      </c>
      <c r="C49" s="87" t="s">
        <v>92</v>
      </c>
      <c r="D49" s="85"/>
      <c r="E49" s="85"/>
      <c r="F49" s="86"/>
      <c r="G49" s="185" t="s">
        <v>93</v>
      </c>
      <c r="H49" s="186"/>
      <c r="I49" s="193"/>
      <c r="J49" s="70">
        <v>27</v>
      </c>
      <c r="K49" t="s">
        <v>191</v>
      </c>
    </row>
    <row r="50" spans="1:10" ht="12.75" customHeight="1">
      <c r="A50" s="68"/>
      <c r="B50" s="68" t="s">
        <v>94</v>
      </c>
      <c r="C50" s="84"/>
      <c r="D50" s="85"/>
      <c r="E50" s="85"/>
      <c r="F50" s="86"/>
      <c r="G50" s="185" t="s">
        <v>95</v>
      </c>
      <c r="H50" s="186"/>
      <c r="I50" s="193"/>
      <c r="J50" s="153">
        <v>31.5</v>
      </c>
    </row>
    <row r="51" spans="1:10" ht="12.75" customHeight="1">
      <c r="A51" s="64"/>
      <c r="B51" s="64"/>
      <c r="C51" s="65"/>
      <c r="D51" s="66"/>
      <c r="E51" s="66"/>
      <c r="F51" s="67"/>
      <c r="G51" s="74"/>
      <c r="H51" s="75"/>
      <c r="I51" s="76"/>
      <c r="J51" s="79"/>
    </row>
    <row r="52" spans="1:10" ht="15">
      <c r="A52" s="64"/>
      <c r="B52" s="64"/>
      <c r="C52" s="65"/>
      <c r="D52" s="66"/>
      <c r="E52" s="66"/>
      <c r="F52" s="67"/>
      <c r="G52" s="65"/>
      <c r="H52" s="66"/>
      <c r="I52" s="67"/>
      <c r="J52" s="79"/>
    </row>
    <row r="53" spans="1:11" ht="17.25">
      <c r="A53" s="68" t="s">
        <v>81</v>
      </c>
      <c r="B53" s="69" t="s">
        <v>96</v>
      </c>
      <c r="C53" s="87" t="s">
        <v>83</v>
      </c>
      <c r="D53" s="85"/>
      <c r="E53" s="85"/>
      <c r="F53" s="86"/>
      <c r="G53" s="187" t="s">
        <v>97</v>
      </c>
      <c r="H53" s="188"/>
      <c r="I53" s="189"/>
      <c r="J53" s="70">
        <v>19</v>
      </c>
      <c r="K53" t="s">
        <v>191</v>
      </c>
    </row>
    <row r="54" spans="1:10" ht="12.75" customHeight="1">
      <c r="A54" s="68"/>
      <c r="B54" s="68" t="s">
        <v>98</v>
      </c>
      <c r="C54" s="84"/>
      <c r="D54" s="85"/>
      <c r="E54" s="85"/>
      <c r="F54" s="86"/>
      <c r="G54" s="187"/>
      <c r="H54" s="188"/>
      <c r="I54" s="189"/>
      <c r="J54" s="153">
        <v>22.5</v>
      </c>
    </row>
    <row r="55" spans="1:10" ht="12.75" customHeight="1">
      <c r="A55" s="64"/>
      <c r="B55" s="64"/>
      <c r="C55" s="65"/>
      <c r="D55" s="66"/>
      <c r="E55" s="66"/>
      <c r="F55" s="67"/>
      <c r="G55" s="74"/>
      <c r="H55" s="75"/>
      <c r="I55" s="76"/>
      <c r="J55" s="79"/>
    </row>
    <row r="56" spans="1:10" ht="15">
      <c r="A56" s="64"/>
      <c r="B56" s="64"/>
      <c r="C56" s="65"/>
      <c r="D56" s="66"/>
      <c r="E56" s="66"/>
      <c r="F56" s="67"/>
      <c r="G56" s="65"/>
      <c r="H56" s="66"/>
      <c r="I56" s="67"/>
      <c r="J56" s="79"/>
    </row>
    <row r="57" spans="1:11" ht="18">
      <c r="A57" s="68" t="s">
        <v>99</v>
      </c>
      <c r="B57" s="69" t="s">
        <v>24</v>
      </c>
      <c r="C57" s="163" t="s">
        <v>189</v>
      </c>
      <c r="D57" s="85"/>
      <c r="E57" s="85"/>
      <c r="F57" s="86"/>
      <c r="G57" s="190" t="s">
        <v>100</v>
      </c>
      <c r="H57" s="191"/>
      <c r="I57" s="192"/>
      <c r="J57" s="70">
        <v>90</v>
      </c>
      <c r="K57" t="s">
        <v>191</v>
      </c>
    </row>
    <row r="58" spans="1:10" ht="15">
      <c r="A58" s="68"/>
      <c r="B58" s="68" t="s">
        <v>101</v>
      </c>
      <c r="C58" s="88" t="s">
        <v>102</v>
      </c>
      <c r="D58" s="85"/>
      <c r="E58" s="85"/>
      <c r="F58" s="86"/>
      <c r="G58" s="155" t="s">
        <v>203</v>
      </c>
      <c r="H58" s="154"/>
      <c r="I58" s="154"/>
      <c r="J58" s="153">
        <v>144.9</v>
      </c>
    </row>
    <row r="59" spans="1:10" ht="12.75" customHeight="1">
      <c r="A59" s="68"/>
      <c r="B59" s="68"/>
      <c r="C59" s="88" t="s">
        <v>103</v>
      </c>
      <c r="D59" s="85"/>
      <c r="E59" s="85"/>
      <c r="F59" s="86"/>
      <c r="G59" s="194"/>
      <c r="H59" s="195"/>
      <c r="I59" s="195"/>
      <c r="J59" s="196"/>
    </row>
    <row r="60" spans="1:10" ht="12.75" customHeight="1">
      <c r="A60" s="64"/>
      <c r="B60" s="64"/>
      <c r="C60" s="89"/>
      <c r="D60" s="66"/>
      <c r="E60" s="66"/>
      <c r="F60" s="67"/>
      <c r="G60" s="89"/>
      <c r="H60" s="66"/>
      <c r="I60" s="67"/>
      <c r="J60" s="79"/>
    </row>
    <row r="61" spans="1:10" ht="19.5" customHeight="1">
      <c r="A61" s="64"/>
      <c r="B61" s="64"/>
      <c r="C61" s="65"/>
      <c r="D61" s="66"/>
      <c r="E61" s="66"/>
      <c r="F61" s="67"/>
      <c r="G61" s="65"/>
      <c r="H61" s="66"/>
      <c r="I61" s="67"/>
      <c r="J61" s="79"/>
    </row>
    <row r="62" spans="1:11" ht="15" customHeight="1">
      <c r="A62" s="71" t="s">
        <v>99</v>
      </c>
      <c r="B62" s="90" t="s">
        <v>91</v>
      </c>
      <c r="C62" s="226" t="s">
        <v>190</v>
      </c>
      <c r="D62" s="210"/>
      <c r="E62" s="210"/>
      <c r="F62" s="211"/>
      <c r="G62" s="185" t="s">
        <v>93</v>
      </c>
      <c r="H62" s="186"/>
      <c r="I62" s="193"/>
      <c r="J62" s="91">
        <v>35</v>
      </c>
      <c r="K62" t="s">
        <v>191</v>
      </c>
    </row>
    <row r="63" spans="1:10" ht="15">
      <c r="A63" s="68"/>
      <c r="B63" s="225" t="s">
        <v>94</v>
      </c>
      <c r="C63" s="87" t="s">
        <v>104</v>
      </c>
      <c r="D63" s="92"/>
      <c r="E63" s="85"/>
      <c r="F63" s="86"/>
      <c r="G63" s="185" t="s">
        <v>95</v>
      </c>
      <c r="H63" s="186"/>
      <c r="I63" s="193"/>
      <c r="J63" s="153">
        <v>39.5</v>
      </c>
    </row>
    <row r="64" spans="1:10" ht="12.75">
      <c r="A64" s="93"/>
      <c r="B64" s="225"/>
      <c r="C64" s="94"/>
      <c r="D64" s="92"/>
      <c r="E64" s="92"/>
      <c r="F64" s="95"/>
      <c r="G64" s="94"/>
      <c r="H64" s="92"/>
      <c r="I64" s="95"/>
      <c r="J64" s="93"/>
    </row>
    <row r="65" spans="1:10" s="46" customFormat="1" ht="15">
      <c r="A65" s="96"/>
      <c r="B65" s="97"/>
      <c r="C65" s="98"/>
      <c r="D65" s="99"/>
      <c r="E65" s="99"/>
      <c r="F65" s="100"/>
      <c r="G65" s="98"/>
      <c r="H65" s="99"/>
      <c r="I65" s="100"/>
      <c r="J65" s="96"/>
    </row>
    <row r="66" spans="1:10" s="46" customFormat="1" ht="11.25" customHeight="1">
      <c r="A66" s="101"/>
      <c r="B66" s="72"/>
      <c r="C66" s="102"/>
      <c r="D66" s="102"/>
      <c r="E66" s="102"/>
      <c r="F66" s="102"/>
      <c r="G66" s="102"/>
      <c r="H66" s="102"/>
      <c r="I66" s="102"/>
      <c r="J66" s="102"/>
    </row>
    <row r="67" spans="1:10" ht="15">
      <c r="A67" s="102"/>
      <c r="B67" s="72"/>
      <c r="C67" s="102"/>
      <c r="D67" s="102"/>
      <c r="E67" s="102"/>
      <c r="F67" s="102"/>
      <c r="G67" s="102"/>
      <c r="H67" s="102"/>
      <c r="I67" s="102"/>
      <c r="J67" s="102"/>
    </row>
    <row r="68" spans="1:9" ht="14.25" customHeight="1">
      <c r="A68" s="103" t="s">
        <v>105</v>
      </c>
      <c r="B68" s="104"/>
      <c r="C68" s="104"/>
      <c r="D68" s="104"/>
      <c r="E68" s="104"/>
      <c r="F68" s="104"/>
      <c r="G68" s="104"/>
      <c r="H68" s="104"/>
      <c r="I68" s="105"/>
    </row>
    <row r="69" spans="10:24" ht="15" customHeight="1">
      <c r="J69" s="54"/>
      <c r="X69" s="159"/>
    </row>
    <row r="70" spans="1:24" ht="15" customHeight="1">
      <c r="A70" s="200" t="s">
        <v>141</v>
      </c>
      <c r="B70" s="201"/>
      <c r="C70" s="201"/>
      <c r="D70" s="201"/>
      <c r="E70" s="201"/>
      <c r="F70" s="201"/>
      <c r="G70" s="201"/>
      <c r="H70" s="201"/>
      <c r="I70" s="202"/>
      <c r="K70" s="159"/>
      <c r="W70" s="159"/>
      <c r="X70" s="159"/>
    </row>
    <row r="72" spans="2:3" ht="20.25">
      <c r="B72" s="106"/>
      <c r="C72" s="135" t="s">
        <v>204</v>
      </c>
    </row>
    <row r="73" ht="15">
      <c r="B73" s="106"/>
    </row>
    <row r="74" ht="15">
      <c r="B74" s="106"/>
    </row>
    <row r="75" ht="15">
      <c r="B75" s="106"/>
    </row>
    <row r="76" ht="15">
      <c r="B76" s="106"/>
    </row>
    <row r="77" spans="1:10" ht="15">
      <c r="A77" s="103" t="s">
        <v>105</v>
      </c>
      <c r="B77" s="104"/>
      <c r="C77" s="104"/>
      <c r="D77" s="104"/>
      <c r="E77" s="104"/>
      <c r="F77" s="104"/>
      <c r="G77" s="104"/>
      <c r="H77" s="104"/>
      <c r="I77" s="105"/>
      <c r="J77" s="54"/>
    </row>
    <row r="78" spans="1:10" ht="15">
      <c r="A78" s="54"/>
      <c r="B78" s="54"/>
      <c r="C78" s="54"/>
      <c r="D78" s="54"/>
      <c r="E78" s="54"/>
      <c r="F78" s="54"/>
      <c r="G78" s="54"/>
      <c r="H78" s="54"/>
      <c r="I78" s="54"/>
      <c r="J78" s="54"/>
    </row>
    <row r="79" spans="1:10" ht="15">
      <c r="A79" s="54"/>
      <c r="B79" s="107" t="s">
        <v>125</v>
      </c>
      <c r="C79" s="54"/>
      <c r="D79" s="54"/>
      <c r="E79" s="54"/>
      <c r="F79" s="54"/>
      <c r="G79" s="54"/>
      <c r="H79" s="54"/>
      <c r="I79" s="54"/>
      <c r="J79" s="54"/>
    </row>
    <row r="80" spans="1:10" ht="15">
      <c r="A80" s="54"/>
      <c r="B80" s="108"/>
      <c r="C80" s="54"/>
      <c r="D80" s="54"/>
      <c r="E80" s="54"/>
      <c r="F80" s="54"/>
      <c r="G80" s="54"/>
      <c r="H80" s="54"/>
      <c r="I80" s="54"/>
      <c r="J80" s="54"/>
    </row>
    <row r="81" spans="1:10" ht="15">
      <c r="A81" s="54"/>
      <c r="B81" s="53" t="s">
        <v>126</v>
      </c>
      <c r="C81" s="54"/>
      <c r="D81" s="54"/>
      <c r="E81" s="54"/>
      <c r="F81" s="54"/>
      <c r="G81" s="54"/>
      <c r="J81" s="54"/>
    </row>
    <row r="82" spans="1:10" ht="15">
      <c r="A82" s="54"/>
      <c r="B82" s="53" t="s">
        <v>127</v>
      </c>
      <c r="C82" s="54"/>
      <c r="D82" s="54"/>
      <c r="E82" s="54"/>
      <c r="F82" s="54"/>
      <c r="G82" s="54"/>
      <c r="J82" s="54"/>
    </row>
    <row r="83" spans="1:10" ht="15" customHeight="1">
      <c r="A83" s="54"/>
      <c r="B83" s="53" t="s">
        <v>128</v>
      </c>
      <c r="C83" s="54"/>
      <c r="D83" s="54"/>
      <c r="E83" s="54"/>
      <c r="F83" s="54"/>
      <c r="G83" s="54"/>
      <c r="J83" s="54"/>
    </row>
    <row r="84" spans="1:10" ht="23.25" customHeight="1">
      <c r="A84" s="54"/>
      <c r="B84" s="107"/>
      <c r="C84" s="54"/>
      <c r="E84" s="109"/>
      <c r="F84" s="54"/>
      <c r="G84" s="54"/>
      <c r="H84" s="110"/>
      <c r="I84" s="110"/>
      <c r="J84" s="54"/>
    </row>
    <row r="85" spans="1:10" ht="23.25" customHeight="1">
      <c r="A85" s="54"/>
      <c r="B85" s="107"/>
      <c r="C85" s="54"/>
      <c r="D85" s="199" t="s">
        <v>106</v>
      </c>
      <c r="E85" s="199"/>
      <c r="F85" s="199"/>
      <c r="G85" s="199"/>
      <c r="H85" s="110"/>
      <c r="I85" s="110"/>
      <c r="J85" s="54"/>
    </row>
    <row r="86" spans="1:10" ht="15">
      <c r="A86" s="54"/>
      <c r="B86" s="107"/>
      <c r="C86" s="54"/>
      <c r="D86" s="111"/>
      <c r="E86" s="111"/>
      <c r="F86" s="111"/>
      <c r="G86" s="111"/>
      <c r="H86" s="110"/>
      <c r="I86" s="110"/>
      <c r="J86" s="54"/>
    </row>
    <row r="87" spans="1:10" ht="15">
      <c r="A87" s="54"/>
      <c r="B87" s="54"/>
      <c r="C87" s="112"/>
      <c r="D87" s="109"/>
      <c r="E87" s="109"/>
      <c r="F87" s="54"/>
      <c r="G87" s="54"/>
      <c r="H87" s="54"/>
      <c r="I87" s="54"/>
      <c r="J87" s="54"/>
    </row>
    <row r="88" spans="1:10" ht="15">
      <c r="A88" s="113" t="s">
        <v>107</v>
      </c>
      <c r="B88" s="104"/>
      <c r="C88" s="104"/>
      <c r="D88" s="104"/>
      <c r="E88" s="104"/>
      <c r="F88" s="104"/>
      <c r="G88" s="104"/>
      <c r="H88" s="104"/>
      <c r="I88" s="105"/>
      <c r="J88" s="54"/>
    </row>
    <row r="89" spans="1:10" ht="15">
      <c r="A89" s="51"/>
      <c r="B89" s="54"/>
      <c r="C89" s="54"/>
      <c r="D89" s="54"/>
      <c r="E89" s="54"/>
      <c r="F89" s="54"/>
      <c r="G89" s="54"/>
      <c r="H89" s="54"/>
      <c r="I89" s="54"/>
      <c r="J89" s="54"/>
    </row>
    <row r="90" spans="1:10" ht="15">
      <c r="A90" s="54"/>
      <c r="B90" s="107" t="s">
        <v>129</v>
      </c>
      <c r="C90" s="54"/>
      <c r="D90" s="54"/>
      <c r="E90" s="54"/>
      <c r="F90" s="54"/>
      <c r="G90" s="54"/>
      <c r="H90" s="54"/>
      <c r="I90" s="54"/>
      <c r="J90" s="54"/>
    </row>
    <row r="91" spans="1:10" ht="15">
      <c r="A91" s="54"/>
      <c r="B91" s="198" t="s">
        <v>108</v>
      </c>
      <c r="C91" s="198"/>
      <c r="D91" s="198"/>
      <c r="E91" s="198"/>
      <c r="F91" s="198"/>
      <c r="G91" s="198"/>
      <c r="H91" s="198"/>
      <c r="I91" s="198"/>
      <c r="J91" s="54"/>
    </row>
    <row r="92" spans="1:10" ht="19.5" customHeight="1">
      <c r="A92" s="54"/>
      <c r="B92" s="114"/>
      <c r="C92" s="114"/>
      <c r="D92" s="114"/>
      <c r="E92" s="114"/>
      <c r="F92" s="114"/>
      <c r="G92" s="114"/>
      <c r="H92" s="114"/>
      <c r="I92" s="114"/>
      <c r="J92" s="54"/>
    </row>
    <row r="93" spans="1:10" ht="12.75" customHeight="1">
      <c r="A93" s="54"/>
      <c r="B93" s="197" t="s">
        <v>109</v>
      </c>
      <c r="C93" s="197"/>
      <c r="D93" s="197"/>
      <c r="E93" s="197"/>
      <c r="F93" s="197"/>
      <c r="G93" s="116"/>
      <c r="H93" s="116"/>
      <c r="I93" s="116"/>
      <c r="J93" s="54"/>
    </row>
    <row r="94" spans="1:10" ht="15">
      <c r="A94" s="54"/>
      <c r="B94" s="53"/>
      <c r="C94" s="54"/>
      <c r="D94" s="54"/>
      <c r="E94" s="54"/>
      <c r="F94" s="54"/>
      <c r="G94" s="54"/>
      <c r="H94" s="54"/>
      <c r="I94" s="54"/>
      <c r="J94" s="54"/>
    </row>
    <row r="95" spans="1:10" ht="15">
      <c r="A95" s="54"/>
      <c r="B95" s="53" t="s">
        <v>130</v>
      </c>
      <c r="C95" s="54"/>
      <c r="D95" s="54"/>
      <c r="E95" s="54"/>
      <c r="F95" s="54"/>
      <c r="G95" s="54"/>
      <c r="H95" s="54"/>
      <c r="I95" s="54"/>
      <c r="J95" s="54"/>
    </row>
    <row r="96" spans="1:10" ht="15">
      <c r="A96" s="54"/>
      <c r="B96" s="53" t="s">
        <v>131</v>
      </c>
      <c r="C96" s="54"/>
      <c r="D96" s="54"/>
      <c r="G96" s="54"/>
      <c r="H96" s="54"/>
      <c r="I96" s="54"/>
      <c r="J96" s="54"/>
    </row>
    <row r="97" spans="1:10" ht="15">
      <c r="A97" s="54"/>
      <c r="B97" s="53" t="s">
        <v>132</v>
      </c>
      <c r="C97" s="54"/>
      <c r="D97" s="54"/>
      <c r="E97" s="53"/>
      <c r="F97" s="54"/>
      <c r="G97" s="54"/>
      <c r="H97" s="54"/>
      <c r="I97" s="54"/>
      <c r="J97" s="54"/>
    </row>
    <row r="98" spans="1:10" ht="15">
      <c r="A98" s="54"/>
      <c r="B98" s="117" t="s">
        <v>148</v>
      </c>
      <c r="C98" s="54"/>
      <c r="D98" s="54"/>
      <c r="E98" s="54"/>
      <c r="F98" s="54"/>
      <c r="G98" s="54"/>
      <c r="H98" s="54"/>
      <c r="I98" s="54"/>
      <c r="J98" s="54"/>
    </row>
    <row r="99" spans="1:10" ht="15">
      <c r="A99" s="54"/>
      <c r="B99" s="117"/>
      <c r="C99" s="54"/>
      <c r="D99" s="54"/>
      <c r="E99" s="54"/>
      <c r="F99" s="54"/>
      <c r="G99" s="54"/>
      <c r="H99" s="54"/>
      <c r="I99" s="54"/>
      <c r="J99" s="54"/>
    </row>
    <row r="100" spans="1:10" ht="20.2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</row>
    <row r="101" spans="1:10" ht="16.5" customHeight="1">
      <c r="A101" s="53" t="s">
        <v>205</v>
      </c>
      <c r="B101" s="116"/>
      <c r="C101" s="116"/>
      <c r="D101" s="116"/>
      <c r="E101" s="116"/>
      <c r="F101" s="116"/>
      <c r="G101" s="116"/>
      <c r="H101" s="116"/>
      <c r="J101" s="116"/>
    </row>
    <row r="102" spans="1:10" ht="15">
      <c r="A102" s="54"/>
      <c r="B102" s="118"/>
      <c r="C102" s="53"/>
      <c r="D102" s="51"/>
      <c r="E102" s="54"/>
      <c r="F102" s="54"/>
      <c r="G102" s="54"/>
      <c r="H102" s="54"/>
      <c r="I102" s="54"/>
      <c r="J102" s="54"/>
    </row>
    <row r="103" spans="1:6" ht="15">
      <c r="A103" s="54"/>
      <c r="B103" s="53" t="s">
        <v>206</v>
      </c>
      <c r="C103" s="54"/>
      <c r="D103" s="54"/>
      <c r="F103" s="119">
        <v>1</v>
      </c>
    </row>
    <row r="104" spans="1:6" ht="15">
      <c r="A104" s="54"/>
      <c r="B104" s="53" t="s">
        <v>133</v>
      </c>
      <c r="C104" s="54"/>
      <c r="D104" s="54"/>
      <c r="F104" s="119">
        <v>1</v>
      </c>
    </row>
    <row r="105" spans="1:10" ht="15">
      <c r="A105" s="54"/>
      <c r="B105" s="53" t="s">
        <v>134</v>
      </c>
      <c r="C105" s="54"/>
      <c r="D105" s="54"/>
      <c r="F105" s="119">
        <v>0.5</v>
      </c>
      <c r="G105" s="54"/>
      <c r="H105" s="54"/>
      <c r="I105" s="54"/>
      <c r="J105" s="54"/>
    </row>
    <row r="106" spans="1:10" ht="15">
      <c r="A106" s="54"/>
      <c r="B106" s="107" t="s">
        <v>135</v>
      </c>
      <c r="C106" s="54"/>
      <c r="D106" s="54"/>
      <c r="F106" s="119">
        <v>3.5</v>
      </c>
      <c r="G106" s="54"/>
      <c r="H106" s="54"/>
      <c r="I106" s="54"/>
      <c r="J106" s="54"/>
    </row>
    <row r="107" spans="1:10" ht="15">
      <c r="A107" s="54"/>
      <c r="B107" s="107" t="s">
        <v>136</v>
      </c>
      <c r="C107" s="54"/>
      <c r="D107" s="54"/>
      <c r="F107" s="119">
        <v>4.5</v>
      </c>
      <c r="G107" s="54"/>
      <c r="H107" s="54"/>
      <c r="I107" s="54"/>
      <c r="J107" s="54"/>
    </row>
    <row r="108" spans="1:10" ht="15">
      <c r="A108" s="54"/>
      <c r="B108" s="107" t="s">
        <v>137</v>
      </c>
      <c r="C108" s="54"/>
      <c r="D108" s="54"/>
      <c r="F108" s="151">
        <v>15.6</v>
      </c>
      <c r="G108" s="54" t="s">
        <v>178</v>
      </c>
      <c r="H108" s="54"/>
      <c r="I108" s="54"/>
      <c r="J108" s="54"/>
    </row>
    <row r="109" spans="1:6" ht="15">
      <c r="A109" s="54"/>
      <c r="B109" s="53" t="s">
        <v>138</v>
      </c>
      <c r="C109" s="107"/>
      <c r="D109" s="54"/>
      <c r="F109" s="151">
        <v>10</v>
      </c>
    </row>
    <row r="110" spans="1:10" ht="15">
      <c r="A110" s="54"/>
      <c r="B110" s="54"/>
      <c r="C110" s="54"/>
      <c r="D110" s="54"/>
      <c r="E110" s="54"/>
      <c r="F110" s="54"/>
      <c r="G110" s="107"/>
      <c r="H110" s="54"/>
      <c r="I110" s="23"/>
      <c r="J110" s="119"/>
    </row>
    <row r="111" spans="1:10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</row>
    <row r="112" spans="1:10" ht="15">
      <c r="A112" s="54"/>
      <c r="B112" s="53" t="s">
        <v>110</v>
      </c>
      <c r="C112" s="54"/>
      <c r="D112" s="54"/>
      <c r="E112" s="54"/>
      <c r="F112" s="54"/>
      <c r="G112" s="54"/>
      <c r="H112" s="54"/>
      <c r="I112" s="54"/>
      <c r="J112" s="54"/>
    </row>
    <row r="113" spans="1:10" ht="15">
      <c r="A113" s="54"/>
      <c r="B113" s="53"/>
      <c r="C113" s="54"/>
      <c r="D113" s="54"/>
      <c r="E113" s="54"/>
      <c r="F113" s="54"/>
      <c r="G113" s="54"/>
      <c r="H113" s="54"/>
      <c r="I113" s="54"/>
      <c r="J113" s="54"/>
    </row>
    <row r="114" spans="1:10" ht="15">
      <c r="A114" s="51"/>
      <c r="B114" s="120" t="s">
        <v>164</v>
      </c>
      <c r="C114" s="120"/>
      <c r="D114" s="54"/>
      <c r="E114" s="54"/>
      <c r="F114" s="54"/>
      <c r="G114" s="54"/>
      <c r="H114" s="54"/>
      <c r="I114" s="54"/>
      <c r="J114" s="54"/>
    </row>
    <row r="115" spans="1:10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</row>
    <row r="116" spans="1:10" ht="15">
      <c r="A116" s="54"/>
      <c r="B116" s="218" t="s">
        <v>111</v>
      </c>
      <c r="C116" s="219"/>
      <c r="D116" s="218" t="s">
        <v>112</v>
      </c>
      <c r="E116" s="243"/>
      <c r="F116" s="219"/>
      <c r="G116" s="218" t="s">
        <v>113</v>
      </c>
      <c r="H116" s="235"/>
      <c r="I116" s="235"/>
      <c r="J116" s="236"/>
    </row>
    <row r="117" spans="1:10" ht="15">
      <c r="A117" s="54"/>
      <c r="B117" s="121"/>
      <c r="C117" s="122"/>
      <c r="D117" s="121"/>
      <c r="E117" s="123"/>
      <c r="F117" s="122"/>
      <c r="G117" s="121"/>
      <c r="H117" s="124"/>
      <c r="I117" s="124"/>
      <c r="J117" s="125"/>
    </row>
    <row r="118" spans="1:10" ht="15">
      <c r="A118" s="54"/>
      <c r="B118" s="220" t="s">
        <v>114</v>
      </c>
      <c r="C118" s="221"/>
      <c r="D118" s="220" t="s">
        <v>114</v>
      </c>
      <c r="E118" s="244"/>
      <c r="F118" s="222"/>
      <c r="G118" s="220" t="s">
        <v>115</v>
      </c>
      <c r="H118" s="237"/>
      <c r="I118" s="237"/>
      <c r="J118" s="238"/>
    </row>
    <row r="119" spans="1:10" ht="15">
      <c r="A119" s="54"/>
      <c r="B119" s="220" t="s">
        <v>116</v>
      </c>
      <c r="C119" s="222"/>
      <c r="D119" s="128" t="s">
        <v>117</v>
      </c>
      <c r="E119" s="112"/>
      <c r="F119" s="127"/>
      <c r="G119" s="239" t="s">
        <v>118</v>
      </c>
      <c r="H119" s="240"/>
      <c r="I119" s="240"/>
      <c r="J119" s="241"/>
    </row>
    <row r="120" spans="1:10" ht="15">
      <c r="A120" s="54"/>
      <c r="B120" s="129"/>
      <c r="C120" s="127"/>
      <c r="D120" s="242">
        <v>-0.25</v>
      </c>
      <c r="E120" s="245"/>
      <c r="F120" s="246"/>
      <c r="G120" s="242">
        <v>-0.5</v>
      </c>
      <c r="H120" s="237"/>
      <c r="I120" s="237"/>
      <c r="J120" s="238"/>
    </row>
    <row r="121" spans="1:10" ht="15">
      <c r="A121" s="115"/>
      <c r="B121" s="223">
        <f>J27+J32+J37+J45</f>
        <v>135</v>
      </c>
      <c r="C121" s="224"/>
      <c r="D121" s="215">
        <f>(J32+J27+J49+J53+J41)*0.75</f>
        <v>98.25</v>
      </c>
      <c r="E121" s="216"/>
      <c r="F121" s="217"/>
      <c r="G121" s="230">
        <f>(J29+J49+J37+J41+J45)*0.5</f>
        <v>80</v>
      </c>
      <c r="H121" s="231"/>
      <c r="I121" s="231"/>
      <c r="J121" s="232"/>
    </row>
    <row r="122" spans="1:10" ht="15">
      <c r="A122" s="115"/>
      <c r="B122" s="130"/>
      <c r="C122" s="130"/>
      <c r="D122" s="126"/>
      <c r="E122" s="126"/>
      <c r="F122" s="126"/>
      <c r="G122" s="126"/>
      <c r="H122" s="112"/>
      <c r="I122" s="112"/>
      <c r="J122" s="112"/>
    </row>
    <row r="123" spans="1:10" ht="15">
      <c r="A123" s="54"/>
      <c r="B123" s="53" t="s">
        <v>119</v>
      </c>
      <c r="C123" s="54"/>
      <c r="D123" s="54"/>
      <c r="E123" s="54"/>
      <c r="F123" s="54"/>
      <c r="G123" s="51"/>
      <c r="H123" s="51"/>
      <c r="I123" s="156" t="s">
        <v>177</v>
      </c>
      <c r="J123" s="157">
        <f>B121+D121+G121</f>
        <v>313.25</v>
      </c>
    </row>
    <row r="124" spans="1:10" ht="15">
      <c r="A124" s="54"/>
      <c r="B124" s="52" t="s">
        <v>207</v>
      </c>
      <c r="C124" s="54"/>
      <c r="D124" s="54"/>
      <c r="E124" s="54"/>
      <c r="F124" s="54"/>
      <c r="G124" s="54"/>
      <c r="H124" s="54"/>
      <c r="I124" s="54"/>
      <c r="J124" s="54"/>
    </row>
    <row r="125" spans="1:10" ht="15">
      <c r="A125" s="54"/>
      <c r="B125" s="52" t="s">
        <v>208</v>
      </c>
      <c r="C125" s="54"/>
      <c r="D125" s="54"/>
      <c r="E125" s="54"/>
      <c r="F125" s="54"/>
      <c r="G125" s="51"/>
      <c r="H125" s="23" t="s">
        <v>186</v>
      </c>
      <c r="I125" s="152">
        <v>381.55</v>
      </c>
      <c r="J125" s="51" t="s">
        <v>184</v>
      </c>
    </row>
    <row r="126" spans="1:10" ht="15">
      <c r="A126" s="54"/>
      <c r="C126" s="54"/>
      <c r="D126" s="54"/>
      <c r="E126" s="54"/>
      <c r="F126" s="54"/>
      <c r="G126" s="51" t="s">
        <v>185</v>
      </c>
      <c r="H126" s="51"/>
      <c r="I126" s="51"/>
      <c r="J126" s="51"/>
    </row>
    <row r="127" spans="1:10" ht="15">
      <c r="A127" s="54"/>
      <c r="B127" s="107"/>
      <c r="C127" s="54"/>
      <c r="D127" s="54"/>
      <c r="E127" s="54"/>
      <c r="F127" s="54"/>
      <c r="G127" s="118" t="s">
        <v>165</v>
      </c>
      <c r="H127" s="6"/>
      <c r="I127" s="51"/>
      <c r="J127" s="51"/>
    </row>
    <row r="128" spans="1:10" ht="15">
      <c r="A128" s="54"/>
      <c r="B128" s="107"/>
      <c r="C128" s="54"/>
      <c r="D128" s="54"/>
      <c r="E128" s="54"/>
      <c r="F128" s="54"/>
      <c r="G128" s="54"/>
      <c r="H128" s="54"/>
      <c r="I128" s="54"/>
      <c r="J128" s="54"/>
    </row>
    <row r="129" ht="17.25">
      <c r="K129" s="131"/>
    </row>
    <row r="130" spans="1:10" ht="17.25">
      <c r="A130" s="234" t="s">
        <v>120</v>
      </c>
      <c r="B130" s="234"/>
      <c r="C130" s="234"/>
      <c r="D130" s="234"/>
      <c r="E130" s="234"/>
      <c r="F130" s="234"/>
      <c r="G130" s="234"/>
      <c r="H130" s="234"/>
      <c r="I130" s="234"/>
      <c r="J130" s="234"/>
    </row>
    <row r="131" spans="1:7" ht="12.75">
      <c r="A131" s="233" t="s">
        <v>121</v>
      </c>
      <c r="B131" s="233"/>
      <c r="C131" s="233"/>
      <c r="D131" s="233"/>
      <c r="E131" s="233"/>
      <c r="G131" s="132" t="s">
        <v>139</v>
      </c>
    </row>
    <row r="132" spans="2:7" ht="12.75">
      <c r="B132" s="133" t="s">
        <v>122</v>
      </c>
      <c r="G132" s="133" t="s">
        <v>123</v>
      </c>
    </row>
    <row r="134" ht="12.75">
      <c r="B134" t="s">
        <v>124</v>
      </c>
    </row>
  </sheetData>
  <sheetProtection password="DE87" sheet="1" objects="1" scenarios="1"/>
  <mergeCells count="42">
    <mergeCell ref="G121:J121"/>
    <mergeCell ref="A131:E131"/>
    <mergeCell ref="A130:J130"/>
    <mergeCell ref="G116:J116"/>
    <mergeCell ref="G118:J118"/>
    <mergeCell ref="G119:J119"/>
    <mergeCell ref="G120:J120"/>
    <mergeCell ref="D116:F116"/>
    <mergeCell ref="D118:F118"/>
    <mergeCell ref="D120:F120"/>
    <mergeCell ref="D121:F121"/>
    <mergeCell ref="B116:C116"/>
    <mergeCell ref="B118:C118"/>
    <mergeCell ref="B119:C119"/>
    <mergeCell ref="B121:C121"/>
    <mergeCell ref="B33:B34"/>
    <mergeCell ref="B63:B64"/>
    <mergeCell ref="C62:F62"/>
    <mergeCell ref="C32:F34"/>
    <mergeCell ref="A5:J5"/>
    <mergeCell ref="C7:H7"/>
    <mergeCell ref="C8:H8"/>
    <mergeCell ref="C27:F27"/>
    <mergeCell ref="C28:F28"/>
    <mergeCell ref="G27:I28"/>
    <mergeCell ref="H12:H14"/>
    <mergeCell ref="D10:H10"/>
    <mergeCell ref="D11:H11"/>
    <mergeCell ref="G62:I63"/>
    <mergeCell ref="G59:J59"/>
    <mergeCell ref="B93:F93"/>
    <mergeCell ref="B91:I91"/>
    <mergeCell ref="D85:G85"/>
    <mergeCell ref="A70:I70"/>
    <mergeCell ref="G29:I29"/>
    <mergeCell ref="G53:I54"/>
    <mergeCell ref="G57:I57"/>
    <mergeCell ref="G41:I42"/>
    <mergeCell ref="G45:I46"/>
    <mergeCell ref="G49:I50"/>
    <mergeCell ref="G32:I34"/>
    <mergeCell ref="G37:I38"/>
  </mergeCells>
  <hyperlinks>
    <hyperlink ref="B132" r:id="rId1" display="http://www.analyses-veterinaires.fr/"/>
    <hyperlink ref="G132" r:id="rId2" display="secretariat@analyses-veterinaires.fr"/>
  </hyperlinks>
  <printOptions/>
  <pageMargins left="0.15" right="0.1" top="0.27" bottom="0.34" header="0.26" footer="0.33"/>
  <pageSetup fitToHeight="2" fitToWidth="1" horizontalDpi="600" verticalDpi="600" orientation="portrait" paperSize="9" scale="76" r:id="rId4"/>
  <rowBreaks count="1" manualBreakCount="1">
    <brk id="75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Vélu</dc:creator>
  <cp:keywords/>
  <dc:description/>
  <cp:lastModifiedBy>VS</cp:lastModifiedBy>
  <cp:lastPrinted>2024-02-01T09:24:29Z</cp:lastPrinted>
  <dcterms:created xsi:type="dcterms:W3CDTF">2010-08-17T10:14:45Z</dcterms:created>
  <dcterms:modified xsi:type="dcterms:W3CDTF">2024-02-01T09:24:53Z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